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<sst xmlns="http://schemas.openxmlformats.org/spreadsheetml/2006/main" count="3682" uniqueCount="2983">
  <si>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</si>
  <si>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</si>
  <si>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</si>
  <si>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</si>
  <si>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</si>
  <si>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</si>
  <si>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</si>
  <si>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</si>
  <si>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</si>
  <si>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</si>
  <si>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</si>
  <si>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</si>
  <si>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</si>
  <si>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</si>
  <si>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</si>
  <si>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</si>
  <si>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</si>
  <si>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</si>
  <si>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</si>
  <si>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</si>
  <si>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</si>
  <si>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</si>
  <si>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</si>
  <si>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</si>
  <si>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</si>
  <si>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</si>
  <si>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</si>
  <si>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</si>
  <si>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</si>
  <si>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</si>
  <si>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</si>
  <si>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</si>
  <si>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</si>
  <si>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</si>
  <si>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</si>
  <si>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</si>
  <si>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</si>
  <si>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</si>
  <si>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</si>
  <si>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</si>
  <si>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</si>
  <si>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</si>
  <si>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</si>
  <si>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</si>
  <si>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</si>
  <si>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</si>
  <si>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</si>
  <si>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</si>
  <si>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</si>
  <si>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</si>
  <si>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</si>
  <si>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</si>
  <si>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</si>
  <si>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</si>
  <si>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</si>
  <si>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</si>
  <si>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</si>
  <si>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</si>
  <si>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</si>
  <si>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</si>
  <si>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</si>
  <si>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</si>
  <si>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</si>
  <si>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</si>
  <si>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</si>
  <si>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</si>
  <si>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</si>
  <si>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</si>
  <si>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</si>
  <si>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</si>
  <si>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</si>
  <si>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</si>
  <si>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</si>
  <si>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</si>
  <si>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</si>
  <si>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</si>
  <si>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</si>
  <si>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</si>
  <si>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</si>
  <si>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</si>
  <si>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</si>
  <si>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</si>
  <si>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</si>
  <si>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</si>
  <si>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</si>
  <si>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</si>
  <si>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</si>
  <si>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</si>
  <si>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</si>
  <si>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</si>
  <si>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</si>
  <si>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</si>
  <si>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</si>
  <si>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</si>
  <si>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</si>
  <si>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</si>
  <si>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</si>
  <si>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</si>
  <si>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</si>
  <si>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</si>
  <si>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</si>
  <si>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</si>
  <si>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</si>
  <si>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</si>
  <si>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</si>
  <si>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</si>
  <si>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</si>
  <si>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</si>
  <si>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</si>
  <si>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</si>
  <si>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</si>
  <si>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</si>
  <si>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</si>
  <si>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</si>
  <si>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</si>
  <si>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</si>
  <si>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</si>
  <si>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</si>
  <si>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</si>
  <si>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</si>
  <si>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</si>
  <si>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</si>
  <si>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</si>
  <si>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</si>
  <si>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</si>
  <si>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</si>
  <si>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</si>
  <si>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</si>
  <si>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</si>
  <si>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</si>
  <si>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</si>
  <si>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</si>
  <si>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</si>
  <si>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</si>
  <si>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</si>
  <si>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</si>
  <si>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</si>
  <si>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</si>
  <si>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</si>
  <si>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</si>
  <si>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</si>
  <si>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</si>
  <si>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</si>
  <si>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</si>
  <si>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</si>
  <si>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</si>
  <si>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</si>
  <si>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</si>
  <si>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</si>
  <si>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</si>
  <si>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</si>
  <si>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</si>
  <si>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</si>
  <si>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</si>
  <si>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</si>
  <si>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</si>
  <si>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</si>
  <si>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</si>
  <si>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</si>
  <si>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</si>
  <si>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</si>
  <si>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</si>
  <si>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</si>
  <si>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</si>
  <si>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</si>
  <si>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</si>
  <si>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</si>
  <si>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</si>
  <si>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</si>
  <si>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</si>
  <si>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</si>
  <si>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</si>
  <si>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</si>
  <si>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</si>
  <si>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</si>
  <si>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</si>
  <si>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</si>
  <si>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</si>
  <si>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</si>
  <si>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</si>
  <si>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</si>
  <si>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</si>
  <si>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</si>
  <si>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</si>
  <si>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</si>
  <si>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</si>
  <si>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</si>
  <si>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</si>
  <si>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</si>
  <si>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</si>
  <si>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</si>
  <si>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</si>
  <si>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</si>
  <si>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</si>
  <si>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</si>
  <si>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</si>
  <si>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</si>
  <si>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</si>
  <si>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</si>
  <si>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</si>
  <si>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</si>
  <si>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</si>
  <si>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</si>
  <si>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</si>
  <si>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</si>
  <si>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</si>
  <si>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</si>
  <si>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</si>
  <si>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</si>
  <si>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</si>
  <si>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</si>
  <si>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</si>
  <si>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</si>
  <si>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</si>
  <si>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</si>
  <si>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</si>
  <si>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</si>
  <si>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</si>
  <si>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</si>
  <si>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</si>
  <si>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</si>
  <si>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</si>
  <si>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</si>
  <si>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</si>
  <si>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</si>
  <si>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</si>
  <si>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</si>
  <si>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</si>
  <si>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</si>
  <si>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</si>
  <si>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</si>
  <si>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</si>
  <si>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</si>
  <si>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</si>
  <si>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</si>
  <si>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</si>
  <si>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</si>
  <si>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</si>
  <si>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</si>
  <si>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</si>
  <si>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</si>
  <si>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</si>
  <si>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</si>
  <si>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</si>
  <si>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</si>
  <si>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</si>
  <si>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</si>
  <si>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</si>
  <si>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</si>
  <si>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</si>
  <si>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</si>
  <si>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</si>
  <si>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</si>
  <si>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</si>
  <si>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</si>
  <si>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</si>
  <si>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</si>
  <si>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</si>
  <si>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</si>
  <si>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</si>
  <si>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</si>
  <si>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</si>
  <si>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</si>
  <si>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</si>
  <si>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</si>
  <si>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</si>
  <si>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</si>
  <si>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</si>
  <si>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</si>
  <si>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</si>
  <si>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</si>
  <si>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</si>
  <si>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</si>
  <si>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</si>
  <si>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</si>
  <si>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</si>
  <si>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</si>
  <si>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</si>
  <si>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</si>
  <si>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</si>
  <si>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</si>
  <si>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</si>
  <si>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</si>
  <si>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</si>
  <si>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</si>
  <si>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</si>
  <si>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</si>
  <si>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</si>
  <si>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</si>
  <si>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</si>
  <si>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</si>
  <si>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</si>
  <si>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</si>
  <si>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</si>
  <si>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</si>
  <si>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</si>
  <si>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</si>
  <si>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</si>
  <si>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</si>
  <si>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</si>
  <si>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</si>
  <si>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</si>
  <si>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</si>
  <si>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</si>
  <si>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</si>
  <si>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</si>
  <si>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</si>
  <si>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</si>
  <si>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</si>
  <si>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</si>
  <si>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</si>
  <si>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</si>
  <si>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</si>
  <si>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</si>
  <si>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</si>
  <si>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</si>
  <si>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</si>
  <si>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</si>
  <si>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</si>
  <si>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</si>
  <si>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</si>
  <si>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</si>
  <si>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</si>
  <si>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</si>
  <si>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</si>
  <si>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</si>
  <si>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</si>
  <si>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</si>
  <si>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</si>
  <si>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</si>
  <si>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</si>
  <si>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</si>
  <si>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</si>
  <si>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</si>
  <si>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</si>
  <si>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</si>
  <si>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</si>
  <si>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</si>
  <si>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</si>
  <si>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</si>
  <si>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</si>
  <si>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</si>
  <si>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</si>
  <si>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</si>
  <si>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</si>
  <si>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</si>
  <si>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</si>
  <si>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</si>
  <si>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</si>
  <si>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</si>
  <si>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</si>
  <si>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</si>
  <si>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</si>
  <si>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</si>
  <si>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</si>
  <si>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</si>
  <si>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</si>
  <si>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</si>
  <si>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</si>
  <si>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</si>
  <si>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</si>
  <si>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</si>
  <si>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</si>
  <si>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</si>
  <si>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</si>
  <si>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</si>
  <si>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</si>
  <si>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</si>
  <si>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</si>
  <si>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</si>
  <si>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</si>
  <si>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</si>
  <si>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</si>
  <si>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</si>
  <si>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</si>
  <si>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</si>
  <si>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</si>
  <si>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</si>
  <si>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</si>
  <si>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</si>
  <si>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</si>
  <si>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</si>
  <si>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</si>
  <si>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</si>
  <si>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</si>
  <si>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</si>
  <si>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</si>
  <si>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</si>
  <si>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</si>
  <si>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</si>
  <si>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</si>
  <si>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</si>
  <si>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</si>
  <si>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</si>
  <si>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</si>
  <si>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</si>
  <si>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</si>
  <si>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</si>
  <si>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</si>
  <si>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</si>
  <si>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</si>
  <si>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</si>
  <si>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</si>
  <si>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</si>
  <si>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</si>
  <si>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</si>
  <si>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</si>
  <si>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</si>
  <si>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</si>
  <si>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</si>
  <si>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</si>
  <si>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</si>
  <si>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</si>
  <si>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</si>
  <si>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</si>
  <si>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</si>
  <si>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</si>
  <si>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</si>
  <si>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</si>
  <si>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</si>
  <si>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</si>
  <si>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</si>
  <si>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</si>
  <si>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</si>
  <si>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</si>
  <si>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</si>
  <si>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</si>
  <si>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</si>
  <si>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</si>
  <si>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</si>
  <si>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</si>
  <si>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</si>
  <si>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</si>
  <si>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</si>
  <si>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</si>
  <si>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</si>
  <si>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</si>
  <si>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</si>
  <si>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</si>
  <si>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</si>
  <si>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</si>
  <si>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</si>
  <si>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</si>
  <si>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</si>
  <si>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</si>
  <si>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</si>
  <si>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</si>
  <si>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</si>
  <si>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</si>
  <si>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</si>
  <si>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</si>
  <si>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</si>
  <si>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</si>
  <si>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</si>
  <si>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</si>
  <si>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</si>
  <si>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</si>
  <si>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</si>
  <si>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</si>
  <si>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</si>
  <si>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</si>
  <si>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</si>
  <si>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</si>
  <si>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</si>
  <si>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</si>
  <si>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</si>
  <si>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</si>
  <si>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</si>
  <si>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</si>
  <si>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</si>
  <si>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</si>
  <si>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</si>
  <si>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</si>
  <si>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</si>
  <si>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</si>
  <si>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</si>
  <si>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</si>
  <si>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</si>
  <si>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</si>
  <si>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</si>
  <si>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</si>
  <si>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</si>
  <si>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</si>
  <si>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</si>
  <si>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</si>
  <si>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</si>
  <si>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</si>
  <si>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</si>
  <si>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</si>
  <si>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</si>
  <si>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</si>
  <si>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</si>
  <si>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</si>
  <si>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</si>
  <si>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</si>
  <si>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</si>
  <si>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</si>
  <si>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</si>
  <si>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</si>
  <si>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</si>
  <si>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</si>
  <si>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</si>
  <si>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</si>
  <si>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</si>
  <si>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</si>
  <si>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</si>
  <si>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</si>
  <si>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</si>
  <si>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</si>
  <si>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</si>
  <si>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</si>
  <si>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</si>
  <si>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</si>
  <si>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</si>
  <si>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</si>
  <si>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</si>
  <si>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</si>
  <si>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</si>
  <si>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</si>
  <si>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</si>
  <si>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</si>
  <si>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</si>
  <si>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</si>
  <si>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</si>
  <si>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</si>
  <si>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</si>
  <si>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</si>
  <si>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</si>
  <si>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</si>
  <si>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</si>
  <si>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</si>
  <si>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</si>
  <si>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</si>
  <si>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</si>
  <si>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</si>
  <si>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</si>
  <si>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</si>
  <si>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</si>
  <si>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</si>
  <si>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</si>
  <si>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</si>
  <si>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</si>
  <si>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</si>
  <si>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</si>
  <si>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</si>
  <si>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</si>
  <si>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</si>
  <si>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</si>
  <si>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</si>
  <si>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</si>
  <si>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</si>
  <si>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</si>
  <si>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</si>
  <si>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</si>
  <si>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</si>
  <si>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</si>
  <si>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</si>
  <si>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</si>
  <si>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</si>
  <si>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</si>
  <si>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</si>
  <si>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</si>
  <si>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</si>
  <si>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</si>
  <si>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</si>
  <si>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</si>
  <si>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</si>
  <si>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</si>
  <si>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</si>
  <si>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</si>
  <si>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</si>
  <si>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</si>
  <si>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</si>
  <si>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</si>
  <si>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</si>
  <si>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</si>
  <si>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</si>
  <si>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</si>
  <si>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</si>
  <si>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</si>
  <si>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</si>
  <si>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</si>
  <si>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</si>
  <si>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</si>
  <si>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</si>
  <si>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</si>
  <si>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</si>
  <si>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</si>
  <si>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</si>
  <si>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</si>
  <si>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</si>
  <si>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</si>
  <si>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</si>
  <si>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</si>
  <si>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</si>
  <si>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</si>
  <si>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</si>
  <si>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</si>
  <si>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</si>
  <si>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</si>
  <si>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</si>
  <si>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</si>
  <si>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</si>
  <si>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</si>
  <si>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</si>
  <si>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</si>
  <si>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</si>
  <si>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</si>
  <si>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</si>
  <si>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</si>
  <si>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</si>
  <si>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</si>
  <si>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</si>
  <si>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</si>
  <si>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</si>
  <si>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</si>
  <si>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</si>
  <si>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</si>
  <si>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</si>
  <si>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</si>
  <si>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</si>
  <si>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</si>
  <si>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</si>
  <si>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</si>
  <si>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</si>
  <si>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</si>
  <si>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</si>
  <si>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</si>
  <si>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</si>
  <si>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</si>
  <si>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</si>
  <si>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</si>
  <si>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</si>
  <si>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</si>
  <si>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</si>
  <si>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</si>
  <si>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</si>
  <si>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</si>
  <si>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</si>
  <si>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</si>
  <si>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</si>
  <si>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</si>
  <si>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</si>
  <si>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</si>
  <si>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</si>
  <si>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</si>
  <si>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</si>
  <si>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</si>
  <si>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</si>
  <si>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</si>
  <si>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</si>
  <si>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</si>
  <si>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</si>
  <si>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</si>
  <si>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</si>
  <si>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</si>
  <si>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</si>
  <si>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</si>
  <si>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</si>
  <si>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</si>
  <si>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</si>
  <si>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</si>
  <si>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</si>
  <si>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</si>
  <si>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</si>
  <si>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</si>
  <si>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</si>
  <si>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</si>
  <si>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</si>
  <si>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</si>
  <si>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</si>
  <si>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</si>
  <si>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</si>
  <si>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</si>
  <si>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</si>
  <si>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</si>
  <si>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</si>
  <si>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</si>
  <si>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</si>
  <si>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</si>
  <si>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</si>
  <si>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</si>
  <si>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</si>
  <si>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</si>
  <si>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</si>
  <si>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</si>
  <si>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</si>
  <si>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</si>
  <si>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</si>
  <si>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</si>
  <si>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</si>
  <si>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</si>
  <si>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</si>
  <si>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</si>
  <si>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</si>
  <si>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</si>
  <si>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</si>
  <si>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</si>
  <si>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</si>
  <si>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</si>
  <si>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</si>
  <si>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</si>
  <si>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</si>
  <si>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</si>
  <si>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</si>
  <si>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</si>
  <si>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</si>
  <si>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</si>
  <si>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</si>
  <si>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</si>
  <si>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</si>
  <si>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</si>
  <si>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</si>
  <si>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</si>
  <si>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</si>
  <si>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</si>
  <si>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</si>
  <si>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</si>
  <si>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</si>
  <si>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</si>
  <si>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</si>
  <si>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</si>
  <si>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</si>
  <si>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</si>
  <si>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</si>
  <si>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</si>
  <si>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</si>
  <si>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</si>
  <si>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</si>
  <si>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</si>
  <si>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</si>
  <si>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</si>
  <si>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</si>
  <si>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</si>
  <si>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</si>
  <si>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</si>
  <si>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</si>
  <si>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</si>
  <si>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</si>
  <si>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</si>
  <si>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</si>
  <si>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</si>
  <si>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</si>
  <si>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</si>
  <si>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</si>
  <si>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</si>
  <si>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</si>
  <si>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</si>
  <si>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</si>
  <si>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</si>
  <si>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</si>
  <si>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</si>
  <si>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</si>
  <si>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</si>
  <si>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</si>
  <si>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</si>
  <si>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</si>
  <si>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</si>
  <si>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</si>
  <si>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</si>
  <si>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</si>
  <si>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</si>
  <si>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</si>
  <si>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</si>
  <si>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</si>
  <si>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</si>
  <si>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</si>
  <si>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</si>
  <si>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</si>
  <si>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</si>
  <si>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</si>
  <si>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</si>
  <si>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</si>
  <si>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</si>
  <si>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</si>
  <si>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</si>
  <si>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</si>
  <si>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</si>
  <si>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</si>
  <si>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</si>
  <si>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</si>
  <si>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</si>
  <si>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</si>
  <si>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</si>
  <si>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</si>
  <si>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</si>
  <si>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</si>
  <si>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</si>
  <si>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</si>
  <si>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</si>
  <si>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</si>
  <si>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</si>
  <si>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</si>
  <si>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</si>
  <si>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</si>
  <si>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</si>
  <si>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</si>
  <si>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</si>
  <si>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</si>
  <si>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</si>
  <si>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</si>
  <si>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</si>
  <si>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</si>
  <si>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</si>
  <si>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</si>
  <si>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</si>
  <si>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</si>
  <si>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</si>
  <si>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</si>
  <si>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</si>
  <si>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</si>
  <si>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</si>
  <si>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</si>
  <si>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</si>
  <si>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</si>
  <si>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</si>
  <si>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</si>
  <si>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</si>
  <si>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</si>
  <si>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</si>
  <si>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</si>
  <si>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</si>
  <si>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</si>
  <si>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</si>
  <si>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</si>
  <si>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</si>
  <si>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</si>
  <si>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</si>
  <si>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</si>
  <si>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</si>
  <si>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</si>
  <si>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</si>
  <si>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</si>
  <si>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</si>
  <si>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</si>
  <si>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</si>
  <si>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</si>
  <si>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</si>
  <si>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</si>
  <si>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</si>
  <si>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</si>
  <si>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</si>
  <si>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</si>
  <si>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</si>
  <si>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</si>
  <si>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</si>
  <si>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</si>
  <si>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</si>
  <si>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</si>
  <si>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</si>
  <si>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</si>
  <si>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</si>
  <si>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</si>
  <si>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</si>
  <si>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</si>
  <si>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</si>
  <si>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</si>
  <si>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</si>
  <si>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</si>
  <si>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</si>
  <si>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</si>
  <si>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</si>
  <si>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</si>
  <si>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</si>
  <si>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</si>
  <si>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</si>
  <si>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</si>
  <si>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</si>
  <si>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</si>
  <si>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</si>
  <si>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</si>
  <si>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</si>
  <si>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</si>
  <si>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</si>
  <si>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</si>
  <si>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</si>
  <si>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</si>
  <si>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</si>
  <si>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</si>
  <si>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</si>
  <si>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</si>
  <si>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</si>
  <si>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</si>
  <si>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</si>
  <si>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</si>
  <si>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</si>
  <si>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</si>
  <si>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</si>
  <si>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</si>
  <si>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</si>
  <si>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</si>
  <si>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</si>
  <si>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</si>
  <si>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</si>
  <si>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</si>
  <si>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</si>
  <si>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</si>
  <si>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</si>
  <si>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</si>
  <si>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</si>
  <si>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</si>
  <si>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</si>
  <si>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</si>
  <si>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</si>
  <si>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</si>
  <si>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</si>
  <si>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</si>
  <si>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</si>
  <si>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</si>
  <si>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</si>
  <si>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</si>
  <si>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</si>
  <si>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</si>
  <si>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</si>
  <si>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</si>
  <si>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</si>
  <si>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</si>
  <si>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</si>
  <si>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</si>
  <si>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</si>
  <si>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</si>
  <si>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</si>
  <si>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</si>
  <si>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</si>
  <si>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</si>
  <si>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</si>
  <si>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</si>
  <si>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</si>
  <si>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</si>
  <si>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</si>
  <si>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</si>
  <si>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</si>
  <si>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</si>
  <si>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</si>
  <si>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</si>
  <si>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</si>
  <si>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</si>
  <si>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</si>
  <si>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</si>
  <si>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</si>
  <si>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</si>
  <si>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</si>
  <si>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</si>
  <si>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</si>
  <si>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</si>
  <si>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</si>
  <si>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</si>
  <si>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</si>
  <si>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</si>
  <si>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</si>
  <si>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</si>
  <si>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</si>
  <si>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</si>
  <si>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</si>
  <si>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</si>
  <si>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</si>
  <si>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</si>
  <si>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</si>
  <si>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</si>
  <si>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</si>
  <si>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</si>
  <si>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</si>
  <si>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</si>
  <si>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</si>
  <si>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</si>
  <si>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</si>
  <si>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</si>
  <si>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</si>
  <si>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</si>
  <si>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</si>
  <si>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</si>
  <si>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</si>
  <si>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</si>
  <si>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</si>
  <si>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</si>
  <si>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</si>
  <si>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</si>
  <si>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</si>
  <si>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</si>
  <si>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</si>
  <si>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</si>
  <si>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</si>
  <si>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</si>
  <si>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</si>
  <si>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</si>
  <si>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</si>
  <si>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</si>
  <si>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</si>
  <si>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</si>
  <si>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</si>
  <si>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</si>
  <si>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</si>
  <si>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</si>
  <si>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</si>
  <si>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</si>
  <si>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</si>
  <si>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</si>
  <si>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</si>
  <si>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</si>
  <si>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</si>
  <si>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</si>
  <si>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</si>
  <si>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</si>
  <si>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</si>
  <si>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</si>
  <si>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</si>
  <si>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</si>
  <si>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</si>
  <si>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</si>
  <si>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</si>
  <si>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</si>
  <si>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</si>
  <si>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</si>
  <si>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</si>
  <si>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</si>
  <si>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</si>
  <si>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</si>
  <si>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</si>
  <si>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</si>
  <si>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</si>
  <si>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</si>
  <si>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</si>
  <si>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</si>
  <si>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</si>
  <si>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</si>
  <si>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</si>
  <si>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</si>
  <si>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</si>
  <si>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</si>
  <si>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</si>
  <si>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</si>
  <si>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</si>
  <si>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</si>
  <si>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</si>
  <si>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</si>
  <si>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</si>
  <si>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</si>
  <si>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</si>
  <si>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</si>
  <si>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</si>
  <si>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</si>
  <si>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</si>
  <si>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</si>
  <si>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</si>
  <si>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</si>
  <si>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</si>
  <si>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</si>
  <si>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</si>
  <si>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</si>
  <si>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</si>
  <si>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</si>
  <si>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</si>
  <si>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</si>
  <si>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</si>
  <si>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</si>
  <si>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</si>
  <si>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</si>
  <si>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</si>
  <si>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</si>
  <si>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</si>
  <si>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</si>
  <si>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</si>
  <si>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</si>
  <si>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</si>
  <si>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</si>
  <si>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</si>
  <si>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</si>
  <si>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</si>
  <si>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</si>
  <si>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</si>
  <si>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</si>
  <si>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</si>
  <si>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</si>
  <si>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</si>
  <si>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</si>
  <si>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</si>
  <si>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</si>
  <si>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</si>
  <si>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</si>
  <si>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</si>
  <si>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</si>
  <si>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</si>
  <si>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</si>
  <si>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</si>
  <si>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</si>
  <si>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</si>
  <si>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</si>
  <si>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</si>
  <si>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</si>
  <si>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</si>
  <si>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</si>
  <si>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</si>
  <si>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</si>
  <si>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</si>
  <si>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</si>
  <si>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</si>
  <si>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</si>
  <si>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</si>
  <si>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</si>
  <si>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</si>
  <si>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</si>
  <si>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</si>
  <si>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</si>
  <si>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</si>
  <si>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</si>
  <si>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</si>
  <si>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</si>
  <si>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</si>
  <si>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</si>
  <si>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</si>
  <si>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</si>
  <si>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</si>
  <si>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</si>
  <si>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</si>
  <si>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</si>
  <si>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</si>
  <si>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</si>
  <si>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</si>
  <si>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</si>
  <si>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</si>
  <si>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</si>
  <si>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</si>
  <si>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</si>
  <si>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</si>
  <si>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</si>
  <si>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</si>
  <si>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</si>
  <si>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</si>
  <si>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</si>
  <si>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</si>
  <si>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</si>
  <si>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</si>
  <si>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</si>
  <si>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</si>
  <si>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</si>
  <si>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</si>
  <si>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</si>
  <si>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</si>
  <si>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</si>
  <si>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</si>
  <si>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</si>
  <si>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</si>
  <si>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</si>
  <si>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</si>
  <si>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</si>
  <si>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</si>
  <si>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</si>
  <si>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</si>
  <si>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</si>
  <si>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</si>
  <si>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</si>
  <si>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</si>
  <si>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</si>
  <si>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</si>
  <si>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</si>
  <si>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</si>
  <si>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</si>
  <si>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</si>
  <si>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</si>
  <si>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</si>
  <si>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</si>
  <si>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</si>
  <si>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</si>
  <si>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</si>
  <si>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</si>
  <si>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</si>
  <si>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</si>
  <si>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</si>
  <si>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</si>
  <si>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</si>
  <si>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</si>
  <si>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</si>
  <si>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</si>
  <si>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</si>
  <si>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</si>
  <si>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</si>
  <si>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</si>
  <si>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</si>
  <si>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</si>
  <si>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</si>
  <si>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</si>
  <si>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</si>
  <si>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</si>
  <si>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</si>
  <si>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</si>
  <si>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</si>
  <si>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</si>
  <si>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</si>
  <si>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</si>
  <si>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</si>
  <si>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</si>
  <si>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</si>
  <si>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</si>
  <si>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</si>
  <si>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</si>
  <si>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</si>
  <si>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</si>
  <si>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</si>
  <si>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</si>
  <si>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</si>
  <si>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</si>
  <si>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</si>
  <si>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</si>
  <si>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</si>
  <si>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</si>
  <si>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</si>
  <si>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</si>
  <si>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</si>
  <si>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</si>
  <si>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</si>
  <si>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</si>
  <si>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</si>
  <si>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</si>
  <si>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</si>
  <si>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</si>
  <si>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</si>
  <si>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</si>
  <si>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</si>
  <si>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</si>
  <si>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</si>
  <si>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</si>
  <si>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</si>
  <si>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</si>
  <si>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</si>
  <si>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</si>
  <si>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</si>
  <si>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</si>
  <si>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</si>
  <si>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</si>
  <si>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</si>
  <si>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</si>
  <si>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</si>
  <si>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</si>
  <si>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</si>
  <si>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</si>
  <si>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</si>
  <si>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</si>
  <si>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</si>
  <si>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</si>
  <si>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</si>
  <si>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</si>
  <si>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</si>
  <si>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</si>
  <si>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</si>
  <si>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</si>
  <si>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</si>
  <si>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</si>
  <si>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</si>
  <si>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</si>
  <si>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</si>
  <si>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</si>
  <si>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</si>
  <si>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</si>
  <si>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</si>
  <si>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</si>
  <si>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</si>
  <si>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</si>
  <si>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</si>
  <si>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</si>
  <si>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</si>
  <si>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</si>
  <si>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</si>
  <si>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</si>
  <si>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</si>
  <si>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</si>
  <si>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</si>
  <si>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</si>
  <si>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</si>
  <si>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</si>
  <si>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</si>
  <si>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</si>
  <si>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</si>
  <si>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</si>
  <si>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</si>
  <si>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</si>
  <si>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</si>
  <si>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</si>
  <si>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</si>
  <si>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</si>
  <si>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</si>
  <si>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</si>
  <si>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</si>
  <si>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</si>
  <si>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</si>
  <si>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</si>
  <si>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</si>
  <si>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</si>
  <si>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</si>
  <si>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</si>
  <si>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</si>
  <si>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</si>
  <si>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</si>
  <si>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</si>
  <si>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</si>
  <si>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</si>
  <si>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</si>
  <si>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</si>
  <si>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</si>
  <si>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</si>
  <si>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</si>
  <si>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</si>
  <si>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</si>
  <si>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</si>
  <si>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</si>
  <si>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</si>
  <si>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</si>
  <si>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</si>
  <si>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</si>
  <si>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</si>
  <si>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</si>
  <si>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</si>
  <si>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</si>
  <si>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</si>
  <si>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</si>
  <si>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</si>
  <si>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</si>
  <si>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</si>
  <si>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</si>
  <si>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</si>
  <si>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</si>
  <si>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</si>
  <si>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</si>
  <si>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</si>
  <si>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</si>
  <si>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</si>
  <si>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</si>
  <si>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</si>
  <si>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</si>
  <si>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</si>
  <si>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</si>
  <si>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</si>
  <si>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</si>
  <si>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</si>
  <si>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</si>
  <si>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</si>
  <si>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</si>
  <si>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</si>
  <si>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</si>
  <si>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</si>
  <si>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</si>
  <si>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</si>
  <si>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</si>
  <si>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</si>
  <si>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</si>
  <si>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</si>
  <si>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</si>
  <si>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</si>
  <si>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</si>
  <si>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</si>
  <si>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</si>
  <si>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</si>
  <si>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</si>
  <si>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</si>
  <si>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</si>
  <si>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</si>
  <si>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</si>
  <si>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</si>
  <si>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</si>
  <si>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</si>
  <si>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</si>
  <si>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</si>
  <si>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</si>
  <si>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</si>
  <si>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</si>
  <si>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</si>
  <si>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</si>
  <si>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</si>
  <si>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</si>
  <si>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</si>
  <si>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</si>
  <si>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</si>
  <si>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</si>
  <si>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</si>
  <si>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</si>
  <si>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</si>
  <si>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</si>
  <si>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</si>
  <si>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</si>
  <si>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</si>
  <si>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</si>
  <si>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</si>
  <si>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</si>
  <si>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</si>
  <si>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</si>
  <si>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</si>
  <si>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</si>
  <si>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</si>
  <si>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</si>
  <si>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</si>
  <si>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</si>
  <si>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</si>
  <si>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</si>
  <si>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</si>
  <si>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</si>
  <si>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</si>
  <si>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</si>
  <si>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</si>
  <si>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</si>
  <si>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</si>
  <si>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</si>
  <si>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</si>
  <si>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</si>
  <si>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</si>
  <si>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</si>
  <si>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</si>
  <si>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</si>
  <si>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</si>
  <si>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</si>
  <si>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</si>
  <si>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</si>
  <si>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</si>
  <si>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</si>
  <si>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</si>
  <si>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</si>
  <si>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</si>
  <si>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</si>
  <si>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</si>
  <si>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</si>
  <si>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</si>
  <si>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</si>
  <si>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</si>
  <si>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</si>
  <si>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</si>
  <si>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</si>
  <si>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</si>
  <si>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</si>
  <si>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</si>
  <si>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</si>
  <si>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</si>
  <si>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</si>
  <si>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</si>
  <si>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</si>
  <si>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</si>
  <si>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</si>
  <si>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</si>
  <si>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</si>
  <si>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</si>
  <si>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</si>
  <si>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</si>
  <si>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</si>
  <si>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</si>
  <si>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</si>
  <si>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</si>
  <si>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</si>
  <si>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</si>
  <si>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</si>
  <si>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</si>
  <si>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</si>
  <si>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</si>
  <si>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</si>
  <si>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</si>
  <si>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</si>
  <si>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</si>
  <si>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</si>
  <si>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</si>
  <si>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</si>
  <si>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</si>
  <si>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</si>
  <si>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</si>
  <si>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</si>
  <si>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</si>
  <si>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</si>
  <si>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</si>
  <si>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</si>
  <si>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</si>
  <si>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</si>
  <si>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</si>
  <si>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</si>
  <si>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</si>
  <si>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</si>
  <si>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</si>
  <si>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</si>
  <si>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</si>
  <si>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</si>
  <si>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</si>
  <si>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</si>
  <si>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</si>
  <si>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</si>
  <si>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</si>
  <si>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</si>
  <si>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</si>
  <si>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</si>
  <si>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</si>
  <si>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</si>
  <si>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</si>
  <si>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</si>
  <si>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</si>
  <si>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</si>
  <si>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</si>
  <si>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</si>
  <si>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</si>
  <si>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</si>
  <si>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</si>
  <si>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</si>
  <si>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</si>
  <si>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</si>
  <si>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</si>
  <si>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</si>
  <si>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</si>
  <si>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</si>
  <si>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</si>
  <si>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</si>
  <si>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</si>
  <si>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</si>
  <si>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</si>
  <si>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</si>
  <si>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</si>
  <si>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</si>
  <si>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</si>
  <si>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</si>
  <si>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</si>
  <si>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</si>
  <si>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</si>
  <si>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</si>
  <si>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</si>
  <si>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</si>
  <si>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</si>
  <si>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</si>
  <si>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</si>
  <si>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</si>
  <si>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</si>
  <si>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</si>
  <si>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</si>
  <si>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</si>
  <si>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</si>
  <si>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</si>
  <si>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</si>
  <si>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</si>
  <si>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</si>
  <si>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</si>
  <si>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</si>
  <si>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</si>
  <si>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</si>
  <si>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</si>
  <si>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</si>
  <si>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</si>
  <si>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</si>
  <si>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</si>
  <si>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</si>
  <si>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</si>
  <si>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</si>
  <si>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</si>
  <si>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</si>
  <si>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</si>
  <si>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</si>
  <si>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</si>
  <si>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</si>
  <si>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</si>
  <si>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</si>
  <si>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</si>
  <si>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</si>
  <si>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</si>
  <si>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</si>
  <si>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</si>
  <si>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</si>
  <si>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</si>
  <si>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</si>
  <si>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</si>
  <si>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</si>
  <si>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</si>
  <si>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</si>
  <si>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</si>
  <si>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</si>
  <si>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</si>
  <si>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</si>
  <si>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</si>
  <si>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</si>
  <si>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</si>
  <si>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</si>
  <si>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</si>
  <si>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</si>
  <si>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</si>
  <si>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</si>
  <si>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</si>
  <si>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</si>
  <si>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</si>
  <si>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</si>
  <si>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</si>
  <si>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</si>
  <si>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</si>
  <si>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</si>
  <si>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</si>
  <si>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</si>
  <si>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</si>
  <si>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</si>
  <si>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</si>
  <si>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</si>
  <si>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</si>
  <si>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</si>
  <si>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</si>
  <si>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</si>
  <si>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</si>
  <si>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</si>
  <si>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</si>
  <si>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</si>
  <si>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</si>
  <si>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</si>
  <si>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</si>
  <si>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</si>
  <si>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</si>
  <si>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</si>
  <si>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</si>
  <si>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</si>
  <si>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</si>
  <si>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</si>
  <si>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</si>
  <si>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</si>
  <si>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</si>
  <si>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</si>
  <si>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</si>
  <si>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</si>
  <si>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</si>
  <si>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</si>
  <si>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</si>
  <si>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</si>
  <si>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</si>
  <si>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</si>
  <si>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</si>
  <si>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</si>
  <si>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</si>
  <si>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</si>
  <si>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</si>
  <si>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</si>
  <si>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</si>
  <si>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</si>
  <si>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</si>
  <si>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</si>
  <si>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</si>
  <si>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</si>
  <si>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</si>
  <si>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</si>
  <si>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</si>
  <si>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</si>
  <si>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</si>
  <si>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</si>
  <si>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</si>
  <si>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</si>
  <si>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</si>
  <si>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</si>
  <si>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</si>
  <si>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</si>
  <si>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</si>
  <si>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</si>
  <si>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</si>
  <si>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</si>
  <si>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</si>
  <si>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</si>
  <si>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</si>
  <si>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</si>
  <si>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</si>
  <si>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</si>
  <si>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</si>
  <si>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</si>
  <si>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</si>
  <si>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</si>
  <si>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</si>
  <si>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</si>
  <si>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</si>
  <si>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</si>
  <si>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</si>
  <si>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</si>
  <si>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</si>
  <si>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</si>
  <si>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</si>
  <si>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</si>
  <si>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</si>
  <si>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</si>
  <si>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</si>
  <si>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</si>
  <si>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</si>
  <si>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</si>
  <si>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</si>
  <si>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</si>
  <si>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</si>
  <si>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</si>
  <si>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</si>
  <si>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</si>
  <si>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</si>
  <si>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</si>
  <si>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</si>
  <si>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</si>
  <si>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</si>
  <si>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</si>
  <si>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</si>
  <si>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</si>
  <si>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</si>
  <si>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</si>
  <si>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</si>
  <si>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</si>
  <si>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</si>
  <si>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</si>
  <si>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</si>
  <si>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</si>
  <si>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</si>
  <si>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</si>
  <si>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</si>
  <si>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</si>
  <si>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</si>
  <si>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</si>
  <si>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</si>
  <si>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</si>
  <si>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</si>
  <si>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</si>
  <si>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</si>
  <si>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</si>
  <si>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</si>
  <si>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</si>
  <si>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</si>
  <si>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</si>
  <si>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</si>
  <si>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</si>
  <si>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</si>
  <si>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</si>
  <si>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</si>
  <si>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</si>
  <si>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</si>
  <si>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</si>
  <si>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</si>
  <si>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</si>
  <si>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</si>
  <si>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</si>
  <si>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</si>
  <si>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</si>
  <si>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</si>
  <si>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</si>
  <si>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</si>
  <si>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</si>
  <si>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</si>
  <si>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</si>
  <si>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</si>
  <si>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</si>
  <si>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</si>
  <si>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</si>
  <si>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</si>
  <si>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</si>
  <si>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</si>
  <si>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</si>
  <si>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</si>
  <si>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</si>
  <si>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</si>
  <si>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</si>
  <si>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</si>
  <si>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</si>
  <si>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</si>
  <si>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</si>
  <si>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</si>
  <si>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</si>
  <si>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</si>
  <si>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</si>
  <si>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</si>
  <si>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</si>
  <si>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</si>
  <si>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</si>
  <si>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</si>
  <si>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</si>
  <si>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</si>
  <si>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</si>
  <si>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</si>
  <si>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</si>
  <si>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</si>
  <si>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</si>
  <si>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</si>
  <si>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</si>
  <si>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</si>
  <si>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</si>
  <si>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</si>
  <si>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</si>
  <si>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</si>
  <si>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</si>
  <si>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</si>
  <si>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</si>
  <si>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</si>
  <si>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</si>
  <si>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</si>
  <si>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</si>
  <si>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</si>
  <si>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</si>
  <si>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</si>
  <si>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</si>
  <si>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</si>
  <si>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</si>
  <si>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</si>
  <si>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</si>
  <si>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</si>
  <si>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</si>
  <si>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</si>
  <si>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</si>
  <si>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</si>
  <si>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</si>
  <si>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</si>
  <si>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</si>
  <si>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</si>
  <si>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</si>
  <si>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</si>
  <si>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</si>
  <si>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</si>
  <si>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</si>
  <si>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</si>
  <si>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</si>
  <si>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</si>
  <si>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</si>
  <si>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</si>
  <si>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</si>
  <si>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</si>
  <si>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</si>
  <si>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</si>
  <si>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</si>
  <si>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</si>
  <si>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</si>
  <si>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</si>
  <si>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</si>
  <si>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</si>
  <si>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</si>
  <si>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</si>
  <si>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</si>
  <si>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</si>
  <si>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</si>
  <si>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</si>
  <si>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</si>
  <si>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</si>
  <si>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</si>
  <si>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</si>
  <si>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</si>
  <si>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</si>
  <si>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</si>
  <si>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</si>
  <si>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</si>
  <si>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</si>
  <si>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</si>
  <si>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</si>
  <si>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</si>
  <si>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</si>
  <si>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</si>
  <si>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</si>
  <si>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</si>
  <si>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</si>
  <si>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</si>
  <si>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</si>
  <si>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</si>
  <si>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</si>
  <si>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</si>
  <si>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</si>
  <si>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</si>
  <si>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</si>
  <si>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</si>
  <si>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</si>
  <si>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</si>
  <si>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</si>
  <si>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</si>
  <si>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</si>
  <si>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</si>
  <si>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</si>
  <si>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</si>
  <si>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</si>
  <si>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</si>
  <si>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</si>
  <si>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</si>
  <si>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</si>
  <si>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</si>
  <si>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</si>
  <si>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</si>
  <si>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</si>
  <si>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</si>
  <si>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</si>
  <si>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</si>
  <si>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</si>
  <si>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</si>
  <si>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</si>
  <si>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</si>
  <si>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</si>
  <si>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</si>
  <si>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</si>
  <si>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</si>
  <si>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</si>
  <si>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</si>
  <si>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</si>
  <si>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</si>
  <si>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</si>
  <si>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</si>
  <si>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</si>
  <si>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</si>
  <si>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</si>
  <si>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</si>
  <si>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</si>
  <si>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</si>
  <si>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</si>
  <si>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</si>
  <si>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</si>
  <si>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</si>
  <si>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</si>
  <si>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</si>
  <si>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</si>
  <si>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</si>
  <si>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</si>
  <si>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</si>
  <si>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</si>
  <si>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</si>
  <si>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</si>
  <si>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</si>
  <si>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</si>
  <si>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</si>
  <si>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</si>
  <si>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</si>
  <si>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</si>
  <si>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</si>
  <si>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</si>
  <si>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</si>
  <si>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</si>
  <si>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</si>
  <si>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</si>
  <si>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</si>
  <si>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</si>
  <si>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</si>
  <si>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</si>
  <si>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</si>
  <si>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</si>
  <si>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</si>
  <si>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</si>
  <si>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</si>
  <si>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</si>
  <si>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</si>
  <si>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</si>
  <si>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</si>
  <si>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</si>
  <si>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</si>
  <si>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</si>
  <si>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</si>
  <si>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</si>
  <si>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</si>
  <si>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</si>
  <si>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</si>
  <si>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</si>
  <si>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</si>
  <si>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</si>
  <si>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</si>
  <si>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</si>
  <si>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</si>
  <si>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</si>
  <si>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</si>
  <si>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</si>
  <si>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</si>
  <si>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</si>
  <si>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</si>
  <si>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</si>
  <si>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</si>
  <si>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</si>
  <si>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</si>
  <si>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</si>
  <si>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</si>
  <si>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</si>
  <si>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</si>
  <si>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</si>
  <si>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</si>
  <si>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</si>
  <si>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</si>
  <si>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</si>
  <si>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</si>
  <si>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</si>
  <si>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</si>
  <si>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</si>
  <si>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</si>
  <si>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</si>
  <si>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</si>
  <si>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</si>
  <si>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</si>
  <si>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</si>
  <si>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</si>
  <si>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</si>
  <si>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</si>
  <si>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</si>
  <si>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</si>
  <si>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</si>
  <si>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</si>
  <si>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</si>
  <si>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</si>
  <si>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</si>
  <si>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</si>
  <si>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</si>
  <si>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</si>
  <si>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</si>
  <si>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</si>
  <si>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</si>
  <si>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</si>
  <si>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</si>
  <si>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</si>
  <si>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</si>
  <si>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</si>
  <si>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</si>
  <si>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</si>
  <si>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</si>
  <si>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</si>
  <si>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</si>
  <si>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</si>
  <si>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</si>
  <si>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</si>
  <si>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</si>
  <si>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</si>
  <si>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</si>
  <si>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</si>
  <si>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</si>
  <si>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</si>
  <si>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</si>
  <si>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</si>
  <si>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</si>
  <si>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</si>
  <si>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</si>
  <si>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</si>
  <si>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</si>
  <si>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</si>
  <si>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</si>
  <si>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</si>
  <si>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</si>
  <si>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</si>
  <si>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</si>
  <si>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</si>
  <si>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</si>
  <si>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</si>
  <si>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</si>
  <si>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</si>
  <si>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</si>
  <si>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</si>
  <si>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</si>
  <si>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</si>
  <si>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</si>
  <si>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</si>
  <si>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</si>
  <si>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</si>
  <si>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</si>
  <si>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</si>
  <si>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</si>
  <si>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</si>
  <si>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</si>
  <si>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</si>
  <si>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</si>
  <si>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</si>
  <si>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</si>
  <si>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</si>
  <si>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</si>
  <si>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</si>
  <si>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</si>
  <si>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</si>
  <si>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</si>
  <si>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</si>
  <si>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</si>
  <si>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</si>
  <si>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</si>
  <si>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</si>
  <si>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</si>
  <si>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</si>
  <si>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</si>
  <si>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</si>
  <si>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</si>
  <si>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</si>
  <si>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</si>
  <si>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</si>
  <si>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</si>
  <si>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</si>
  <si>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</si>
  <si>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</si>
  <si>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</si>
  <si>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</si>
  <si>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</si>
  <si>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</si>
  <si>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</si>
  <si>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</si>
  <si>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</si>
  <si>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</si>
  <si>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</si>
  <si>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</si>
  <si>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</si>
  <si>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</si>
  <si>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</si>
  <si>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</si>
  <si>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</si>
  <si>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</si>
  <si>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</si>
  <si>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</si>
  <si>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</si>
  <si>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</si>
  <si>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</si>
  <si>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</si>
  <si>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</si>
  <si>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</si>
  <si>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</si>
  <si>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</si>
  <si>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</si>
  <si>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</si>
  <si>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</si>
  <si>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</si>
  <si>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</si>
  <si>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</si>
  <si>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</si>
  <si>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</si>
  <si>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</si>
  <si>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</si>
  <si>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</si>
  <si>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</si>
  <si>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</si>
  <si>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</si>
  <si>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</si>
  <si>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</si>
  <si>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</si>
  <si>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</si>
  <si>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</si>
  <si>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</si>
  <si>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</si>
  <si>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</si>
  <si>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</si>
  <si>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</si>
  <si>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</si>
  <si>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</si>
  <si>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</si>
  <si>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</si>
  <si>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</si>
  <si>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</si>
  <si>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</si>
  <si>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</si>
  <si>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</si>
  <si>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</si>
  <si>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</si>
  <si>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</si>
  <si>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</si>
  <si>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</si>
  <si>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</si>
  <si>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</si>
  <si>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</si>
  <si>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</si>
  <si>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</si>
  <si>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</si>
  <si>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</si>
  <si>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</si>
  <si>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</si>
  <si>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</si>
  <si>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</si>
  <si>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</si>
  <si>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</si>
  <si>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</si>
  <si>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</si>
  <si>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</si>
  <si>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</si>
  <si>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</si>
  <si>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</si>
  <si>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</si>
  <si>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</si>
  <si>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</si>
  <si>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</si>
  <si>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</si>
  <si>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</si>
  <si>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</si>
  <si>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</si>
  <si>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</si>
  <si>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</si>
  <si>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</si>
  <si>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</si>
  <si>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</si>
  <si>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</si>
  <si>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</si>
  <si>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</si>
  <si>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</si>
  <si>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</si>
  <si>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</si>
  <si>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</si>
  <si>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</si>
  <si>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</si>
  <si>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</si>
  <si>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</si>
  <si>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</si>
  <si>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</si>
  <si>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</si>
  <si>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</si>
  <si>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</si>
  <si>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</si>
  <si>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</si>
  <si>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</si>
  <si>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</si>
  <si>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</si>
  <si>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</si>
  <si>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</si>
  <si>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</si>
  <si>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</si>
  <si>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</si>
  <si>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</si>
  <si>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</si>
  <si>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</si>
  <si>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</si>
  <si>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</si>
  <si>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</si>
  <si>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</si>
  <si>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</si>
  <si>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</si>
  <si>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</si>
  <si>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</si>
  <si>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</si>
  <si>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</si>
  <si>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</si>
  <si>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</si>
  <si>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</si>
  <si>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</si>
  <si>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</si>
  <si>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</si>
  <si>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</si>
  <si>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</si>
  <si>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</si>
  <si>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</si>
  <si>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</si>
  <si>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</si>
  <si>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</si>
  <si>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</si>
  <si>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</si>
  <si>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</si>
  <si>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</si>
  <si>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</si>
  <si>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</si>
  <si>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</si>
  <si>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</si>
  <si>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</si>
  <si>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</si>
  <si>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</si>
  <si>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</si>
  <si>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</si>
  <si>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</si>
  <si>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</si>
  <si>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</si>
  <si>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</si>
  <si>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</si>
  <si>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</si>
  <si>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</si>
  <si>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</si>
  <si>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</si>
  <si>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</si>
  <si>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</si>
  <si>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</si>
  <si>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</si>
  <si>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</si>
  <si>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</si>
  <si>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</si>
  <si>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</si>
  <si>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</si>
  <si>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</si>
  <si>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</si>
  <si>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</si>
  <si>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</si>
  <si>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</si>
  <si>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</si>
  <si>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</si>
  <si>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</si>
  <si>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</si>
  <si>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</si>
  <si>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</si>
  <si>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</si>
  <si>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</si>
  <si>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</si>
  <si>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</si>
  <si>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</si>
  <si>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</si>
  <si>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</si>
  <si>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</si>
  <si>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</si>
  <si>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</si>
  <si>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</si>
  <si>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</si>
  <si>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</si>
  <si>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</si>
  <si>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</si>
  <si>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</si>
  <si>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</si>
  <si>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</si>
  <si>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</si>
  <si>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</si>
  <si>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</si>
  <si>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</si>
  <si>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</si>
  <si>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</si>
  <si>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</si>
  <si>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</si>
  <si>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</si>
  <si>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</si>
  <si>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</si>
  <si>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</si>
  <si>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</si>
  <si>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</si>
  <si>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</si>
  <si>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</si>
  <si>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</si>
  <si>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</si>
  <si>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</si>
  <si>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</si>
  <si>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</si>
  <si>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</si>
  <si>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</si>
  <si>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</si>
  <si>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</si>
  <si>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</si>
  <si>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</si>
  <si>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</si>
  <si>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</si>
  <si>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</si>
  <si>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</si>
  <si>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</si>
  <si>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</si>
  <si>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</si>
  <si>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</si>
  <si>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</si>
  <si>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</si>
  <si>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</si>
  <si>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</si>
  <si>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</si>
  <si>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</si>
  <si>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</si>
  <si>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</si>
  <si>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</si>
  <si>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</si>
  <si>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</si>
  <si>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</si>
  <si>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</si>
  <si>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</si>
  <si>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</si>
  <si>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</si>
  <si>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</si>
  <si>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</si>
  <si>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</si>
  <si>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</si>
  <si>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</si>
  <si>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</si>
  <si>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</si>
  <si>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</si>
  <si>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</si>
  <si>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</si>
  <si>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</si>
  <si>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</si>
  <si>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</si>
  <si>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</si>
  <si>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</si>
  <si>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</si>
  <si>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</si>
  <si>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</si>
  <si>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</si>
  <si>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</si>
  <si>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</si>
  <si>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</si>
  <si>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</si>
  <si>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</si>
  <si>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</si>
  <si>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</si>
  <si>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</si>
  <si>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</si>
  <si>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</si>
  <si>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</si>
  <si>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</si>
  <si>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</si>
  <si>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</si>
  <si>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</si>
  <si>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</si>
  <si>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</si>
  <si>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</si>
  <si>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</si>
  <si>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</si>
  <si>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</si>
  <si>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</si>
  <si>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</si>
  <si>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</si>
  <si>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</si>
  <si>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</si>
  <si>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</si>
  <si>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</si>
  <si>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</si>
  <si>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</si>
  <si>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</si>
  <si>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</si>
  <si>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</si>
  <si>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</si>
  <si>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</si>
  <si>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</si>
  <si>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</si>
  <si>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</si>
  <si>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</si>
  <si>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</si>
  <si>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</si>
  <si>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</si>
  <si>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</si>
  <si>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</si>
  <si>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</si>
  <si>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</si>
  <si>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</si>
  <si>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</si>
  <si>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</si>
  <si>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</si>
  <si>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</si>
  <si>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</si>
  <si>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</si>
  <si>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</si>
  <si>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</si>
  <si>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</si>
  <si>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</si>
  <si>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</si>
  <si>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</si>
  <si>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</si>
  <si>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</si>
  <si>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</si>
  <si>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</si>
  <si>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</si>
  <si>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</si>
  <si>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</si>
  <si>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</si>
  <si>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</si>
  <si>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</si>
  <si>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</si>
  <si>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</si>
  <si>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</si>
  <si>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</si>
  <si>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</si>
  <si>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</si>
  <si>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</si>
  <si>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</si>
  <si>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</si>
  <si>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</si>
  <si>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</si>
  <si>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</si>
  <si>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</si>
  <si>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</si>
  <si>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</si>
  <si>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</si>
  <si>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</si>
  <si>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</si>
  <si>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</si>
  <si>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</si>
  <si>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</si>
  <si>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</si>
  <si>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</si>
  <si>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</si>
  <si>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</si>
  <si>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</si>
  <si>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</si>
  <si>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</si>
  <si>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</si>
  <si>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</si>
  <si>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</si>
  <si>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</si>
  <si>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</si>
  <si>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</si>
  <si>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</si>
  <si>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</si>
  <si>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</si>
  <si>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</si>
  <si>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</si>
  <si>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</si>
  <si>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</si>
  <si>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</si>
  <si>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</si>
  <si>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</si>
  <si>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</si>
  <si>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</si>
  <si>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</si>
  <si>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</si>
  <si>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</si>
  <si>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</si>
  <si>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</si>
  <si>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</si>
  <si>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</si>
  <si>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</si>
  <si>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</si>
  <si>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</si>
  <si>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</si>
  <si>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</si>
  <si>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</si>
  <si>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</si>
  <si>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</si>
  <si>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</si>
  <si>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</si>
  <si>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</si>
  <si>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</si>
  <si>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</si>
  <si>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</si>
  <si>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</si>
  <si>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</si>
  <si>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</si>
  <si>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</si>
  <si>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</si>
  <si>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</si>
  <si>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</si>
  <si>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</si>
  <si>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</si>
  <si>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</si>
  <si>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</si>
  <si>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</si>
  <si>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</si>
  <si>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</si>
  <si>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</si>
  <si>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</si>
  <si>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</si>
  <si>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</si>
  <si>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</si>
  <si>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</si>
  <si>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</si>
  <si>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</si>
  <si>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</si>
  <si>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</si>
  <si>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</si>
  <si>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</si>
  <si>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</si>
  <si>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</si>
  <si>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</si>
  <si>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</si>
  <si>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</si>
  <si>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</si>
  <si>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</si>
  <si>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</si>
  <si>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</si>
  <si>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</si>
  <si>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</si>
  <si>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</si>
  <si>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</si>
  <si>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</si>
  <si>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</si>
  <si>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</si>
  <si>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</si>
  <si>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</si>
  <si>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</si>
  <si>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</si>
  <si>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</si>
  <si>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</si>
  <si>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</si>
  <si>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</si>
  <si>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</si>
  <si>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</si>
  <si>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</si>
  <si>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</si>
  <si>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</si>
  <si>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</si>
  <si>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</si>
  <si>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</si>
  <si>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</si>
  <si>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</si>
  <si>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</si>
  <si>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</si>
  <si>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</si>
  <si>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</si>
  <si>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</si>
  <si>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</si>
  <si>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</si>
  <si>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</si>
  <si>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</si>
  <si>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</si>
  <si>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</si>
  <si>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</si>
  <si>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</si>
  <si>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</si>
  <si>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</si>
  <si>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</si>
  <si>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</si>
  <si>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</si>
  <si>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</si>
  <si>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</si>
  <si>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</si>
  <si>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</si>
  <si>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</si>
  <si>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</si>
  <si>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</si>
  <si>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</si>
  <si>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</si>
  <si>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</si>
  <si>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</si>
  <si>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</si>
  <si>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</si>
  <si>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</si>
  <si>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</si>
  <si>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</si>
  <si>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</si>
  <si>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</si>
  <si>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</si>
  <si>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</si>
  <si>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</si>
  <si>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</si>
  <si>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</si>
  <si>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</si>
  <si>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</si>
  <si>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</si>
  <si>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</si>
  <si>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</si>
  <si>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</si>
  <si>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</si>
  <si>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</si>
  <si>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</si>
  <si>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</si>
  <si>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</si>
  <si>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</si>
  <si>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</si>
  <si>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</si>
  <si>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</si>
  <si>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</si>
  <si>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</si>
  <si>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</si>
  <si>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</si>
  <si>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</si>
  <si>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</si>
  <si>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</si>
  <si>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</si>
  <si>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</si>
  <si>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</si>
  <si>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</si>
  <si>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</si>
  <si>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</si>
  <si>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</si>
  <si>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</si>
  <si>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</si>
  <si>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</si>
  <si>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</si>
  <si>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</si>
  <si>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</si>
  <si>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</si>
  <si>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</si>
  <si>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</si>
  <si>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</si>
  <si>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</si>
  <si>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</si>
  <si>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</si>
  <si>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</si>
  <si>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</si>
  <si>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</si>
  <si>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</si>
  <si>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</si>
  <si>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</si>
  <si>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</si>
  <si>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</si>
  <si>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</si>
  <si>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</si>
  <si>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</si>
  <si>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</si>
  <si>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</si>
  <si>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</si>
  <si>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</si>
  <si>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</si>
  <si>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</si>
  <si>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</si>
  <si>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</si>
  <si>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</si>
  <si>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</si>
  <si>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</si>
  <si>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</si>
  <si>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</si>
  <si>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</si>
  <si>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</si>
  <si>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</si>
  <si>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</si>
  <si>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</si>
  <si>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</si>
  <si>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</si>
  <si>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</si>
  <si>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</si>
  <si>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</si>
  <si>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</si>
  <si>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</si>
  <si>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</si>
  <si>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</si>
  <si>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</si>
  <si>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</si>
  <si>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</si>
  <si>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</si>
  <si>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</si>
  <si>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</si>
  <si>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</si>
  <si>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</si>
  <si>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</si>
  <si>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</si>
  <si>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</si>
  <si>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</si>
  <si>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</si>
  <si>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</si>
  <si>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</si>
  <si>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</si>
  <si>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</si>
  <si>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</si>
  <si>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</si>
  <si>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</si>
  <si>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</si>
  <si>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</si>
  <si>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</si>
  <si>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</si>
  <si>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</si>
  <si>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</si>
  <si>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</si>
  <si>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</si>
  <si>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</si>
  <si>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</si>
  <si>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</si>
  <si>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</si>
  <si>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</si>
  <si>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</si>
  <si>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</si>
  <si>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</si>
  <si>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</si>
  <si>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</si>
  <si>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</si>
  <si>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</si>
  <si>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</si>
  <si>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</si>
  <si>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</si>
  <si>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</si>
  <si>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</si>
  <si>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</si>
  <si>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</si>
  <si>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</si>
  <si>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</si>
  <si>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</si>
  <si>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</si>
  <si>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</si>
  <si>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</si>
  <si>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</si>
  <si>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</si>
  <si>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</si>
  <si>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</si>
  <si>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</si>
  <si>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</si>
  <si>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</si>
  <si>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</si>
  <si>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</si>
  <si>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</si>
  <si>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</si>
  <si>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</si>
  <si>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</si>
  <si>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</si>
  <si>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</si>
  <si>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</si>
  <si>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</si>
  <si>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</si>
  <si>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</si>
  <si>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</si>
  <si>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</si>
  <si>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</si>
  <si>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</si>
  <si>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</si>
  <si>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</si>
  <si>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</si>
  <si>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</si>
  <si>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</si>
  <si>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</si>
  <si>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</si>
  <si>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</si>
  <si>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</si>
  <si>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</si>
  <si>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</si>
  <si>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</si>
  <si>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</si>
  <si>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</si>
  <si>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</si>
  <si>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</si>
  <si>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</si>
  <si>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</si>
  <si>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</si>
  <si>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</si>
  <si>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</si>
  <si>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</si>
  <si>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</si>
  <si>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</si>
  <si>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</si>
  <si>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</si>
  <si>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</si>
  <si>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</si>
  <si>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</si>
  <si>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</si>
  <si>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</si>
  <si>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</si>
  <si>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</si>
  <si>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</si>
  <si>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</si>
  <si>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</si>
  <si>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</si>
  <si>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</si>
  <si>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</si>
  <si>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</si>
  <si>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</si>
  <si>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</si>
  <si>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</si>
  <si>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</si>
  <si>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</si>
  <si>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</si>
  <si>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</si>
  <si>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</si>
  <si>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</si>
  <si>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</si>
  <si>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</si>
  <si>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</si>
  <si>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</si>
  <si>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</si>
  <si>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</si>
  <si>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</si>
  <si>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</si>
  <si>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</si>
  <si>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</si>
  <si>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</si>
  <si>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</si>
  <si>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</si>
  <si>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</si>
  <si>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</si>
  <si>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</si>
  <si>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</si>
  <si>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</si>
  <si>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</si>
  <si>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</si>
  <si>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</si>
  <si>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</si>
  <si>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</si>
  <si>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</si>
  <si>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</si>
  <si>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</si>
  <si>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</si>
  <si>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</si>
  <si>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</si>
  <si>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</si>
  <si>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</si>
  <si>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</si>
  <si>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</si>
  <si>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</si>
  <si>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</si>
  <si>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</si>
  <si>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</si>
  <si>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</si>
  <si>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</si>
  <si>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</si>
  <si>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</si>
  <si>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</si>
  <si>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</si>
  <si>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</si>
  <si>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</si>
  <si>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</si>
  <si>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</si>
  <si>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</si>
  <si>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</si>
  <si>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</si>
  <si>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</si>
  <si>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</si>
  <si>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</si>
  <si>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</si>
  <si>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</si>
  <si>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</si>
  <si>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</si>
  <si>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</si>
  <si>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</si>
  <si>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</si>
  <si>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</si>
  <si>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</si>
  <si>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</si>
  <si>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</si>
  <si>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</si>
  <si>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</si>
  <si>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</si>
  <si>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</si>
  <si>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</si>
  <si>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</si>
  <si>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</si>
  <si>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</si>
  <si>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</si>
  <si>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</si>
  <si>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</si>
  <si>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</si>
  <si>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</si>
  <si>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</si>
  <si>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</si>
  <si>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</si>
  <si>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</si>
  <si>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</si>
  <si>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</si>
  <si>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</si>
  <si>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</si>
  <si>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</si>
  <si>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</si>
  <si>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</si>
  <si>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</si>
  <si>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</si>
  <si>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</si>
  <si>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</si>
  <si>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</si>
  <si>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</si>
  <si>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</si>
  <si>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</si>
  <si>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</si>
  <si>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</si>
  <si>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</si>
  <si>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</si>
  <si>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</si>
  <si>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</si>
  <si>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</si>
  <si>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</si>
  <si>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</si>
  <si>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</si>
  <si>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</si>
  <si>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</si>
  <si>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</si>
  <si>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</si>
  <si>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</si>
  <si>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</si>
  <si>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</si>
  <si>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</si>
  <si>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</si>
  <si>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</si>
  <si>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</si>
  <si>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</si>
  <si>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</si>
  <si>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</si>
  <si>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</si>
  <si>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</si>
  <si>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</si>
  <si>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</si>
  <si>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</si>
  <si>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</si>
  <si>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</si>
  <si>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</si>
  <si>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</si>
  <si>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</si>
  <si>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</si>
  <si>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</si>
  <si>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</si>
  <si>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</si>
  <si>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</si>
  <si>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</si>
  <si>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</si>
  <si>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</si>
  <si>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</si>
  <si>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</si>
  <si>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</si>
  <si>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</si>
  <si>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</si>
  <si>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</si>
  <si>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</si>
  <si>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</si>
  <si>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</si>
  <si>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</si>
  <si>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</si>
  <si>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</si>
  <si>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</si>
  <si>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</si>
  <si>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</si>
  <si>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</si>
  <si>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</si>
  <si>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</si>
  <si>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</si>
  <si>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</si>
  <si>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</si>
  <si>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</si>
  <si>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</si>
  <si>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</si>
  <si>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</si>
  <si>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</si>
  <si>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</si>
  <si>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</si>
  <si>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</si>
  <si>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</si>
  <si>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</si>
  <si>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</si>
  <si>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</si>
  <si>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</si>
  <si>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</si>
  <si>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</si>
  <si>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73841169007</t>
  </si>
  <si>
    <t>05003849</t>
  </si>
  <si>
    <t>110085841</t>
  </si>
  <si>
    <t>Batižele d.o.o.</t>
  </si>
  <si>
    <t>Prilaz tvornici 39</t>
  </si>
  <si>
    <t>tef@si.htnet.hr</t>
  </si>
  <si>
    <t>Slavica Ciganović</t>
  </si>
  <si>
    <t>099/5485670</t>
  </si>
  <si>
    <t xml:space="preserve">                        Tihomir Paškov</t>
  </si>
  <si>
    <t>098/5643790</t>
  </si>
  <si>
    <t xml:space="preserve">    3.</t>
  </si>
  <si>
    <t xml:space="preserve">   3. a</t>
  </si>
  <si>
    <t xml:space="preserve">   3. b</t>
  </si>
  <si>
    <t xml:space="preserve">    4. a</t>
  </si>
  <si>
    <t xml:space="preserve">    8.</t>
  </si>
  <si>
    <t xml:space="preserve">   4. c</t>
  </si>
  <si>
    <t xml:space="preserve">  4. d </t>
  </si>
  <si>
    <t xml:space="preserve">   5.</t>
  </si>
  <si>
    <t xml:space="preserve">    6.</t>
  </si>
  <si>
    <t xml:space="preserve">    7.</t>
  </si>
  <si>
    <t xml:space="preserve">   8.</t>
  </si>
  <si>
    <t xml:space="preserve">   9.</t>
  </si>
  <si>
    <t xml:space="preserve">   9. a</t>
  </si>
  <si>
    <t xml:space="preserve">   9. b</t>
  </si>
  <si>
    <t xml:space="preserve">  11.</t>
  </si>
  <si>
    <t xml:space="preserve">   12.</t>
  </si>
  <si>
    <t xml:space="preserve">   13.</t>
  </si>
  <si>
    <t xml:space="preserve">   13. a</t>
  </si>
  <si>
    <t xml:space="preserve">   14.</t>
  </si>
  <si>
    <t xml:space="preserve">  14. 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</si>
</sst>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9" fontId="0" fillId="0" borderId="0" applyFont="0" applyFill="0" applyBorder="0" applyAlignment="0" applyProtection="0"/>
    <xf numFmtId="0" fontId="88" fillId="0" borderId="7" applyNumberFormat="0" applyFill="0" applyAlignment="0" applyProtection="0"/>
    <xf numFmtId="0" fontId="5"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t="str">
        <f>IF(Bilanca!H10=0,"",Bilanca!H10)</f>
        <v>   8.</v>
      </c>
      <c r="H3" s="30">
        <f>J3/100*F3+2*K3/100*F3</f>
        <v>21657560.62</v>
      </c>
      <c r="I3" s="31">
        <f>ABS(ROUND(J3,0)-J3)+ABS(ROUND(K3,0)-K3)</f>
        <v>0</v>
      </c>
      <c r="J3" s="31">
        <f>Bilanca!I10</f>
        <v>361437803</v>
      </c>
      <c r="K3" s="31">
        <f>Bilanca!J10</f>
        <v>360720114</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05003849</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110085841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73841169007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Batižele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22000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Šibenik</v>
      </c>
      <c r="D11" s="4" t="s">
        <v>1521</v>
      </c>
      <c r="E11" s="4">
        <v>1</v>
      </c>
      <c r="F11" s="4">
        <f>Bilanca!G18</f>
        <v>10</v>
      </c>
      <c r="G11" s="4">
        <f>IF(Bilanca!H18=0,"",Bilanca!H18)</f>
      </c>
      <c r="H11" s="30">
        <f t="shared" si="0"/>
        <v>108287803.1</v>
      </c>
      <c r="I11" s="31">
        <f t="shared" si="1"/>
        <v>0</v>
      </c>
      <c r="J11" s="31">
        <f>Bilanca!I18</f>
        <v>361437803</v>
      </c>
      <c r="K11" s="31">
        <f>Bilanca!J18</f>
        <v>360720114</v>
      </c>
    </row>
    <row r="12" spans="1:11" ht="12.75">
      <c r="A12" s="4" t="s">
        <v>2357</v>
      </c>
      <c r="B12" s="29" t="str">
        <f>TRIM(RefStr!C33)</f>
        <v>Prilaz tvornici 39</v>
      </c>
      <c r="D12" s="4" t="s">
        <v>1521</v>
      </c>
      <c r="E12" s="4">
        <v>1</v>
      </c>
      <c r="F12" s="4">
        <f>Bilanca!G19</f>
        <v>11</v>
      </c>
      <c r="G12" s="4">
        <f>IF(Bilanca!H19=0,"",Bilanca!H19)</f>
      </c>
      <c r="H12" s="30">
        <f t="shared" si="0"/>
        <v>117142940.64000002</v>
      </c>
      <c r="I12" s="31">
        <f t="shared" si="1"/>
        <v>0</v>
      </c>
      <c r="J12" s="31">
        <f>Bilanca!I19</f>
        <v>354978608</v>
      </c>
      <c r="K12" s="31">
        <f>Bilanca!J19</f>
        <v>354978608</v>
      </c>
    </row>
    <row r="13" spans="1:11" ht="12.75">
      <c r="A13" s="4" t="s">
        <v>1193</v>
      </c>
      <c r="B13" s="29" t="str">
        <f>TRIM(RefStr!C35)</f>
        <v>tef@si.htnet.hr</v>
      </c>
      <c r="D13" s="4" t="s">
        <v>1521</v>
      </c>
      <c r="E13" s="4">
        <v>1</v>
      </c>
      <c r="F13" s="4">
        <f>Bilanca!G20</f>
        <v>12</v>
      </c>
      <c r="G13" s="4">
        <f>IF(Bilanca!H20=0,"",Bilanca!H20)</f>
      </c>
      <c r="H13" s="30">
        <f t="shared" si="0"/>
        <v>2153064.84</v>
      </c>
      <c r="I13" s="31">
        <f t="shared" si="1"/>
        <v>0</v>
      </c>
      <c r="J13" s="31">
        <f>Bilanca!I20</f>
        <v>6459195</v>
      </c>
      <c r="K13" s="31">
        <f>Bilanca!J20</f>
        <v>5741506</v>
      </c>
    </row>
    <row r="14" spans="1:11" ht="12.75">
      <c r="A14" s="4" t="s">
        <v>1194</v>
      </c>
      <c r="B14" s="29">
        <f>TRIM(RefStr!C37)</f>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15</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444</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6820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159288.7</v>
      </c>
      <c r="I38" s="31">
        <f t="shared" si="1"/>
        <v>0</v>
      </c>
      <c r="J38" s="31">
        <f>Bilanca!I45</f>
        <v>232538</v>
      </c>
      <c r="K38" s="31">
        <f>Bilanca!J45</f>
        <v>98986</v>
      </c>
    </row>
    <row r="39" spans="1:11" ht="12.75">
      <c r="A39" s="4" t="s">
        <v>1216</v>
      </c>
      <c r="B39" s="29" t="str">
        <f>RefStr!C68</f>
        <v>Slavica Ciganović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099/5485670</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tef@si.htnet.hr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Tihomir Paškov</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t="str">
        <f>IF(Bilanca!H54=0,"",Bilanca!H54)</f>
        <v>   9.</v>
      </c>
      <c r="H47" s="30">
        <f t="shared" si="2"/>
        <v>75818.12</v>
      </c>
      <c r="I47" s="31">
        <f t="shared" si="3"/>
        <v>0</v>
      </c>
      <c r="J47" s="31">
        <f>Bilanca!I54</f>
        <v>73554</v>
      </c>
      <c r="K47" s="31">
        <f>Bilanca!J54</f>
        <v>45634</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   9. b</v>
      </c>
      <c r="H50" s="30">
        <f t="shared" si="2"/>
        <v>17189.690000000002</v>
      </c>
      <c r="I50" s="31">
        <f t="shared" si="3"/>
        <v>0</v>
      </c>
      <c r="J50" s="31">
        <f>Bilanca!I57</f>
        <v>10719</v>
      </c>
      <c r="K50" s="31">
        <f>Bilanca!J57</f>
        <v>12181</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34122.06</v>
      </c>
      <c r="I52" s="31">
        <f t="shared" si="3"/>
        <v>0</v>
      </c>
      <c r="J52" s="31">
        <f>Bilanca!I59</f>
        <v>0</v>
      </c>
      <c r="K52" s="31">
        <f>Bilanca!J59</f>
        <v>33453</v>
      </c>
    </row>
    <row r="53" spans="1:11" ht="12.75">
      <c r="A53" s="4" t="s">
        <v>532</v>
      </c>
      <c r="B53" s="29" t="str">
        <f>RefStr!I56</f>
        <v>DA</v>
      </c>
      <c r="D53" s="4" t="s">
        <v>1521</v>
      </c>
      <c r="E53" s="4">
        <v>1</v>
      </c>
      <c r="F53" s="4">
        <f>Bilanca!G60</f>
        <v>52</v>
      </c>
      <c r="G53" s="4" t="str">
        <f>IF(Bilanca!H60=0,"",Bilanca!H60)</f>
        <v>   9. a</v>
      </c>
      <c r="H53" s="30">
        <f t="shared" si="2"/>
        <v>32674.2</v>
      </c>
      <c r="I53" s="31">
        <f t="shared" si="3"/>
        <v>0</v>
      </c>
      <c r="J53" s="31">
        <f>Bilanca!I60</f>
        <v>62835</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5362449948.9800005</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167383.44</v>
      </c>
      <c r="I64" s="31">
        <f t="shared" si="3"/>
        <v>0</v>
      </c>
      <c r="J64" s="31">
        <f>Bilanca!I71</f>
        <v>158984</v>
      </c>
      <c r="K64" s="31">
        <f>Bilanca!J71</f>
        <v>53352</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704150551.65</v>
      </c>
      <c r="I66" s="31">
        <f t="shared" si="3"/>
        <v>0</v>
      </c>
      <c r="J66" s="31">
        <f>Bilanca!I73</f>
        <v>361670341</v>
      </c>
      <c r="K66" s="31">
        <f>Bilanca!J73</f>
        <v>360819100</v>
      </c>
    </row>
    <row r="67" spans="1:11" ht="12.75">
      <c r="A67" s="4" t="s">
        <v>689</v>
      </c>
      <c r="B67" s="29" t="str">
        <f>RefStr!L35</f>
        <v>098/5643790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542305845.03</v>
      </c>
      <c r="I68" s="31">
        <f t="shared" si="3"/>
        <v>0</v>
      </c>
      <c r="J68" s="31">
        <f>Bilanca!I76</f>
        <v>154388565</v>
      </c>
      <c r="K68" s="31">
        <f>Bilanca!J76</f>
        <v>327511572</v>
      </c>
    </row>
    <row r="69" spans="1:11" ht="12.75">
      <c r="A69" s="4" t="s">
        <v>691</v>
      </c>
      <c r="B69" s="29">
        <f>RefStr!M46</f>
        <v>0</v>
      </c>
      <c r="D69" s="4" t="s">
        <v>1521</v>
      </c>
      <c r="E69" s="4">
        <v>1</v>
      </c>
      <c r="F69" s="4">
        <f>Bilanca!G77</f>
        <v>68</v>
      </c>
      <c r="G69" s="4" t="str">
        <f>IF(Bilanca!H77=0,"",Bilanca!H77)</f>
        <v>  11.</v>
      </c>
      <c r="H69" s="30">
        <f t="shared" si="2"/>
        <v>504377216</v>
      </c>
      <c r="I69" s="31">
        <f t="shared" si="3"/>
        <v>0</v>
      </c>
      <c r="J69" s="31">
        <f>Bilanca!I77</f>
        <v>148500000</v>
      </c>
      <c r="K69" s="31">
        <f>Bilanca!J77</f>
        <v>296615600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t="str">
        <f>IF(Bilanca!H85=0,"",Bilanca!H85)</f>
        <v>   12.</v>
      </c>
      <c r="H77" s="30">
        <f t="shared" si="2"/>
        <v>637803691.84</v>
      </c>
      <c r="I77" s="31">
        <f t="shared" si="3"/>
        <v>0</v>
      </c>
      <c r="J77" s="31">
        <f>Bilanca!I85</f>
        <v>263037902</v>
      </c>
      <c r="K77" s="31">
        <f>Bilanca!J85</f>
        <v>288088741</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t="str">
        <f>IF(Bilanca!H90=0,"",Bilanca!H90)</f>
        <v>   12.</v>
      </c>
      <c r="H82" s="30">
        <f t="shared" si="2"/>
        <v>-624793511.34</v>
      </c>
      <c r="I82" s="31">
        <f t="shared" si="3"/>
        <v>0</v>
      </c>
      <c r="J82" s="31">
        <f>Bilanca!I90</f>
        <v>-258165440</v>
      </c>
      <c r="K82" s="31">
        <f>Bilanca!J90</f>
        <v>-256592287</v>
      </c>
    </row>
    <row r="83" spans="4:11" ht="12.75">
      <c r="D83" s="4" t="s">
        <v>1521</v>
      </c>
      <c r="E83" s="4">
        <v>1</v>
      </c>
      <c r="F83" s="4">
        <f>Bilanca!G91</f>
        <v>82</v>
      </c>
      <c r="G83" s="4">
        <f>IF(Bilanca!H91=0,"",Bilanca!H91)</f>
      </c>
      <c r="H83" s="30">
        <f t="shared" si="2"/>
        <v>1370340.54</v>
      </c>
      <c r="I83" s="31">
        <f t="shared" si="3"/>
        <v>0</v>
      </c>
      <c r="J83" s="31">
        <f>Bilanca!I91</f>
        <v>557049</v>
      </c>
      <c r="K83" s="31">
        <f>Bilanca!J91</f>
        <v>557049</v>
      </c>
    </row>
    <row r="84" spans="4:11" ht="12.75">
      <c r="D84" s="4" t="s">
        <v>1521</v>
      </c>
      <c r="E84" s="4">
        <v>1</v>
      </c>
      <c r="F84" s="4">
        <f>Bilanca!G92</f>
        <v>83</v>
      </c>
      <c r="G84" s="4">
        <f>IF(Bilanca!H92=0,"",Bilanca!H92)</f>
      </c>
      <c r="H84" s="30">
        <f t="shared" si="2"/>
        <v>641607563.63</v>
      </c>
      <c r="I84" s="31">
        <f t="shared" si="3"/>
        <v>0</v>
      </c>
      <c r="J84" s="31">
        <f>Bilanca!I92</f>
        <v>258722489</v>
      </c>
      <c r="K84" s="31">
        <f>Bilanca!J92</f>
        <v>257149336</v>
      </c>
    </row>
    <row r="85" spans="4:11" ht="12.75">
      <c r="D85" s="4" t="s">
        <v>1521</v>
      </c>
      <c r="E85" s="4">
        <v>1</v>
      </c>
      <c r="F85" s="4">
        <f>Bilanca!G93</f>
        <v>84</v>
      </c>
      <c r="G85" s="4">
        <f>IF(Bilanca!H93=0,"",Bilanca!H93)</f>
      </c>
      <c r="H85" s="30">
        <f>J85/100*F85+2*K85/100*F85</f>
        <v>-155283.24</v>
      </c>
      <c r="I85" s="31">
        <f>ABS(ROUND(J85,0)-J85)+ABS(ROUND(K85,0)-K85)</f>
        <v>0</v>
      </c>
      <c r="J85" s="31">
        <f>Bilanca!I93</f>
        <v>1016103</v>
      </c>
      <c r="K85" s="31">
        <f>Bilanca!J93</f>
        <v>-600482</v>
      </c>
    </row>
    <row r="86" spans="4:11" ht="12.75">
      <c r="D86" s="4" t="s">
        <v>1521</v>
      </c>
      <c r="E86" s="4">
        <v>1</v>
      </c>
      <c r="F86" s="4">
        <f>Bilanca!G94</f>
        <v>85</v>
      </c>
      <c r="G86" s="4">
        <f>IF(Bilanca!H94=0,"",Bilanca!H94)</f>
      </c>
      <c r="H86" s="30">
        <f>J86/100*F86+2*K86/100*F86</f>
        <v>863687.55</v>
      </c>
      <c r="I86" s="31">
        <f>ABS(ROUND(J86,0)-J86)+ABS(ROUND(K86,0)-K86)</f>
        <v>0</v>
      </c>
      <c r="J86" s="31">
        <f>Bilanca!I94</f>
        <v>1016103</v>
      </c>
      <c r="K86" s="31">
        <f>Bilanca!J94</f>
        <v>0</v>
      </c>
    </row>
    <row r="87" spans="4:11" ht="12.75">
      <c r="D87" s="4" t="s">
        <v>1521</v>
      </c>
      <c r="E87" s="4">
        <v>1</v>
      </c>
      <c r="F87" s="4">
        <f>Bilanca!G95</f>
        <v>86</v>
      </c>
      <c r="G87" s="4">
        <f>IF(Bilanca!H95=0,"",Bilanca!H95)</f>
      </c>
      <c r="H87" s="30">
        <f aca="true" t="shared" si="4" ref="H87:H127">J87/100*F87+2*K87/100*F87</f>
        <v>1032829.0399999999</v>
      </c>
      <c r="I87" s="31">
        <f aca="true" t="shared" si="5" ref="I87:I127">ABS(ROUND(J87,0)-J87)+ABS(ROUND(K87,0)-K87)</f>
        <v>0</v>
      </c>
      <c r="J87" s="31">
        <f>Bilanca!I95</f>
        <v>0</v>
      </c>
      <c r="K87" s="31">
        <f>Bilanca!J95</f>
        <v>600482</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2409422.4000000004</v>
      </c>
      <c r="I89" s="31">
        <f t="shared" si="5"/>
        <v>0</v>
      </c>
      <c r="J89" s="31">
        <f>Bilanca!I97</f>
        <v>912660</v>
      </c>
      <c r="K89" s="31">
        <f>Bilanca!J97</f>
        <v>912660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2518941.6</v>
      </c>
      <c r="I93" s="31">
        <f t="shared" si="5"/>
        <v>0</v>
      </c>
      <c r="J93" s="31">
        <f>Bilanca!I101</f>
        <v>912660</v>
      </c>
      <c r="K93" s="31">
        <f>Bilanca!J101</f>
        <v>912660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   13.</v>
      </c>
      <c r="H96" s="30">
        <f t="shared" si="4"/>
        <v>115671759.64999999</v>
      </c>
      <c r="I96" s="31">
        <f t="shared" si="5"/>
        <v>0</v>
      </c>
      <c r="J96" s="31">
        <f>Bilanca!I104</f>
        <v>57740027</v>
      </c>
      <c r="K96" s="31">
        <f>Bilanca!J104</f>
        <v>32009860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t="str">
        <f>IF(Bilanca!H115=0,"",Bilanca!H115)</f>
        <v>   13. a</v>
      </c>
      <c r="H107" s="30">
        <f t="shared" si="4"/>
        <v>129065331.82</v>
      </c>
      <c r="I107" s="31">
        <f t="shared" si="5"/>
        <v>0</v>
      </c>
      <c r="J107" s="31">
        <f>Bilanca!I115</f>
        <v>57740027</v>
      </c>
      <c r="K107" s="31">
        <f>Bilanca!J115</f>
        <v>32009860</v>
      </c>
    </row>
    <row r="108" spans="4:11" ht="12.75">
      <c r="D108" s="4" t="s">
        <v>1521</v>
      </c>
      <c r="E108" s="4">
        <v>1</v>
      </c>
      <c r="F108" s="4">
        <f>Bilanca!G116</f>
        <v>107</v>
      </c>
      <c r="G108" s="4" t="str">
        <f>IF(Bilanca!H116=0,"",Bilanca!H116)</f>
        <v>   14.</v>
      </c>
      <c r="H108" s="30">
        <f t="shared" si="4"/>
        <v>159857042.35</v>
      </c>
      <c r="I108" s="31">
        <f t="shared" si="5"/>
        <v>0</v>
      </c>
      <c r="J108" s="31">
        <f>Bilanca!I116</f>
        <v>148629089</v>
      </c>
      <c r="K108" s="31">
        <f>Bilanca!J116</f>
        <v>385008</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27067.55</v>
      </c>
      <c r="I116" s="31">
        <f t="shared" si="5"/>
        <v>0</v>
      </c>
      <c r="J116" s="31">
        <f>Bilanca!I124</f>
        <v>877</v>
      </c>
      <c r="K116" s="31">
        <f>Bilanca!J124</f>
        <v>11330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0</v>
      </c>
      <c r="I118" s="31">
        <f t="shared" si="5"/>
        <v>0</v>
      </c>
      <c r="J118" s="31">
        <f>Bilanca!I126</f>
        <v>0</v>
      </c>
      <c r="K118" s="31">
        <f>Bilanca!J126</f>
        <v>0</v>
      </c>
    </row>
    <row r="119" spans="4:11" ht="12.75">
      <c r="D119" s="4" t="s">
        <v>1521</v>
      </c>
      <c r="E119" s="4">
        <v>1</v>
      </c>
      <c r="F119" s="4">
        <f>Bilanca!G127</f>
        <v>118</v>
      </c>
      <c r="G119" s="4" t="str">
        <f>IF(Bilanca!H127=0,"",Bilanca!H127)</f>
        <v>  14. a</v>
      </c>
      <c r="H119" s="30">
        <f t="shared" si="4"/>
        <v>176263170.24000004</v>
      </c>
      <c r="I119" s="31">
        <f t="shared" si="5"/>
        <v>0</v>
      </c>
      <c r="J119" s="31">
        <f>Bilanca!I127</f>
        <v>148628212</v>
      </c>
      <c r="K119" s="31">
        <f>Bilanca!J127</f>
        <v>373678</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1332469505.43</v>
      </c>
      <c r="I124" s="31">
        <f t="shared" si="5"/>
        <v>0</v>
      </c>
      <c r="J124" s="31">
        <f>Bilanca!I132</f>
        <v>361670341</v>
      </c>
      <c r="K124" s="31">
        <f>Bilanca!J132</f>
        <v>360819100</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t="str">
        <f>IF(RDG!H8=0,"",RDG!H8)</f>
        <v>    3.</v>
      </c>
      <c r="H126" s="30">
        <f t="shared" si="4"/>
        <v>594892.5</v>
      </c>
      <c r="I126" s="4">
        <f t="shared" si="5"/>
        <v>0</v>
      </c>
      <c r="J126" s="31">
        <f>RDG!I8</f>
        <v>170652</v>
      </c>
      <c r="K126" s="31">
        <f>RDG!J8</f>
        <v>152631</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   3. a</v>
      </c>
      <c r="H128" s="30">
        <f aca="true" t="shared" si="6" ref="H128:H190">J128/100*F128+2*K128/100*F128</f>
        <v>601743.78</v>
      </c>
      <c r="I128" s="4">
        <f aca="true" t="shared" si="7" ref="I128:I190">ABS(ROUND(J128,0)-J128)+ABS(ROUND(K128,0)-K128)</f>
        <v>0</v>
      </c>
      <c r="J128" s="31">
        <f>RDG!I10</f>
        <v>168552</v>
      </c>
      <c r="K128" s="31">
        <f>RDG!J10</f>
        <v>152631</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   3. b</v>
      </c>
      <c r="H131" s="30">
        <f t="shared" si="6"/>
        <v>2730</v>
      </c>
      <c r="I131" s="4">
        <f t="shared" si="7"/>
        <v>0</v>
      </c>
      <c r="J131" s="31">
        <f>RDG!I13</f>
        <v>2100</v>
      </c>
      <c r="K131" s="31">
        <f>RDG!J13</f>
        <v>0</v>
      </c>
    </row>
    <row r="132" spans="4:11" ht="12.75">
      <c r="D132" s="4" t="s">
        <v>541</v>
      </c>
      <c r="E132" s="4">
        <v>2</v>
      </c>
      <c r="F132" s="4">
        <f>RDG!G14</f>
        <v>131</v>
      </c>
      <c r="G132" s="4">
        <f>IF(RDG!H14=0,"",RDG!H14)</f>
      </c>
      <c r="H132" s="30">
        <f t="shared" si="6"/>
        <v>4807682.97</v>
      </c>
      <c r="I132" s="4">
        <f t="shared" si="7"/>
        <v>0</v>
      </c>
      <c r="J132" s="31">
        <f>RDG!I14</f>
        <v>1919203</v>
      </c>
      <c r="K132" s="31">
        <f>RDG!J14</f>
        <v>875392</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t="str">
        <f>IF(RDG!H16=0,"",RDG!H16)</f>
        <v>    4. a</v>
      </c>
      <c r="H134" s="30">
        <f t="shared" si="6"/>
        <v>90646.15000000001</v>
      </c>
      <c r="I134" s="4">
        <f t="shared" si="7"/>
        <v>0</v>
      </c>
      <c r="J134" s="31">
        <f>RDG!I16</f>
        <v>6961</v>
      </c>
      <c r="K134" s="31">
        <f>RDG!J16</f>
        <v>30597</v>
      </c>
    </row>
    <row r="135" spans="4:11" ht="12.75">
      <c r="D135" s="4" t="s">
        <v>541</v>
      </c>
      <c r="E135" s="4">
        <v>2</v>
      </c>
      <c r="F135" s="4">
        <f>RDG!G17</f>
        <v>134</v>
      </c>
      <c r="G135" s="4">
        <f>IF(RDG!H17=0,"",RDG!H17)</f>
      </c>
      <c r="H135" s="30">
        <f t="shared" si="6"/>
        <v>17608.94</v>
      </c>
      <c r="I135" s="4">
        <f t="shared" si="7"/>
        <v>0</v>
      </c>
      <c r="J135" s="31">
        <f>RDG!I17</f>
        <v>3241</v>
      </c>
      <c r="K135" s="31">
        <f>RDG!J17</f>
        <v>4950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74819.04000000001</v>
      </c>
      <c r="I137" s="4">
        <f t="shared" si="7"/>
        <v>0</v>
      </c>
      <c r="J137" s="31">
        <f>RDG!I19</f>
        <v>3720</v>
      </c>
      <c r="K137" s="31">
        <f>RDG!J19</f>
        <v>25647</v>
      </c>
    </row>
    <row r="138" spans="4:11" ht="12.75">
      <c r="D138" s="4" t="s">
        <v>541</v>
      </c>
      <c r="E138" s="4">
        <v>2</v>
      </c>
      <c r="F138" s="4">
        <f>RDG!G20</f>
        <v>137</v>
      </c>
      <c r="G138" s="4">
        <f>IF(RDG!H20=0,"",RDG!H20)</f>
      </c>
      <c r="H138" s="30">
        <f t="shared" si="6"/>
        <v>0</v>
      </c>
      <c r="I138" s="4">
        <f t="shared" si="7"/>
        <v>0</v>
      </c>
      <c r="J138" s="31">
        <f>RDG!I20</f>
        <v>0</v>
      </c>
      <c r="K138" s="31">
        <f>RDG!J20</f>
        <v>0</v>
      </c>
    </row>
    <row r="139" spans="4:11" ht="12.75">
      <c r="D139" s="4" t="s">
        <v>541</v>
      </c>
      <c r="E139" s="4">
        <v>2</v>
      </c>
      <c r="F139" s="4">
        <f>RDG!G21</f>
        <v>138</v>
      </c>
      <c r="G139" s="4">
        <f>IF(RDG!H21=0,"",RDG!H21)</f>
      </c>
      <c r="H139" s="30">
        <f t="shared" si="6"/>
        <v>0</v>
      </c>
      <c r="I139" s="4">
        <f t="shared" si="7"/>
        <v>0</v>
      </c>
      <c r="J139" s="31">
        <f>RDG!I21</f>
        <v>0</v>
      </c>
      <c r="K139" s="31">
        <f>RDG!J21</f>
        <v>0</v>
      </c>
    </row>
    <row r="140" spans="4:11" ht="12.75">
      <c r="D140" s="4" t="s">
        <v>541</v>
      </c>
      <c r="E140" s="4">
        <v>2</v>
      </c>
      <c r="F140" s="4">
        <f>RDG!G22</f>
        <v>139</v>
      </c>
      <c r="G140" s="4">
        <f>IF(RDG!H22=0,"",RDG!H22)</f>
      </c>
      <c r="H140" s="30">
        <f t="shared" si="6"/>
        <v>0</v>
      </c>
      <c r="I140" s="4">
        <f t="shared" si="7"/>
        <v>0</v>
      </c>
      <c r="J140" s="31">
        <f>RDG!I22</f>
        <v>0</v>
      </c>
      <c r="K140" s="31">
        <f>RDG!J22</f>
        <v>0</v>
      </c>
    </row>
    <row r="141" spans="4:11" ht="12.75">
      <c r="D141" s="4" t="s">
        <v>541</v>
      </c>
      <c r="E141" s="4">
        <v>2</v>
      </c>
      <c r="F141" s="4">
        <f>RDG!G23</f>
        <v>140</v>
      </c>
      <c r="G141" s="4">
        <f>IF(RDG!H23=0,"",RDG!H23)</f>
      </c>
      <c r="H141" s="30">
        <f t="shared" si="6"/>
        <v>0</v>
      </c>
      <c r="I141" s="4">
        <f t="shared" si="7"/>
        <v>0</v>
      </c>
      <c r="J141" s="31">
        <f>RDG!I23</f>
        <v>0</v>
      </c>
      <c r="K141" s="31">
        <f>RDG!J23</f>
        <v>0</v>
      </c>
    </row>
    <row r="142" spans="4:11" ht="12.75">
      <c r="D142" s="4" t="s">
        <v>541</v>
      </c>
      <c r="E142" s="4">
        <v>2</v>
      </c>
      <c r="F142" s="4">
        <f>RDG!G24</f>
        <v>141</v>
      </c>
      <c r="G142" s="4" t="str">
        <f>IF(RDG!H24=0,"",RDG!H24)</f>
        <v>    8.</v>
      </c>
      <c r="H142" s="30">
        <f t="shared" si="6"/>
        <v>3035820.2399999998</v>
      </c>
      <c r="I142" s="4">
        <f t="shared" si="7"/>
        <v>0</v>
      </c>
      <c r="J142" s="31">
        <f>RDG!I24</f>
        <v>717688</v>
      </c>
      <c r="K142" s="31">
        <f>RDG!J24</f>
        <v>717688</v>
      </c>
    </row>
    <row r="143" spans="4:11" ht="12.75">
      <c r="D143" s="4" t="s">
        <v>541</v>
      </c>
      <c r="E143" s="4">
        <v>2</v>
      </c>
      <c r="F143" s="4">
        <f>RDG!G25</f>
        <v>142</v>
      </c>
      <c r="G143" s="4" t="str">
        <f>IF(RDG!H25=0,"",RDG!H25)</f>
        <v>   4. c</v>
      </c>
      <c r="H143" s="30">
        <f t="shared" si="6"/>
        <v>541336.66</v>
      </c>
      <c r="I143" s="4">
        <f t="shared" si="7"/>
        <v>0</v>
      </c>
      <c r="J143" s="31">
        <f>RDG!I25</f>
        <v>127009</v>
      </c>
      <c r="K143" s="31">
        <f>RDG!J25</f>
        <v>127107</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  4. d </v>
      </c>
      <c r="H154" s="30">
        <f t="shared" si="6"/>
        <v>1633343.85</v>
      </c>
      <c r="I154" s="4">
        <f t="shared" si="7"/>
        <v>0</v>
      </c>
      <c r="J154" s="31">
        <f>RDG!I36</f>
        <v>1067545</v>
      </c>
      <c r="K154" s="31">
        <f>RDG!J36</f>
        <v>0</v>
      </c>
    </row>
    <row r="155" spans="4:11" ht="12.75">
      <c r="D155" s="4" t="s">
        <v>541</v>
      </c>
      <c r="E155" s="4">
        <v>2</v>
      </c>
      <c r="F155" s="4">
        <f>RDG!G37</f>
        <v>154</v>
      </c>
      <c r="G155" s="4" t="str">
        <f>IF(RDG!H37=0,"",RDG!H37)</f>
        <v>   5.</v>
      </c>
      <c r="H155" s="30">
        <f t="shared" si="6"/>
        <v>4378369.38</v>
      </c>
      <c r="I155" s="4">
        <f t="shared" si="7"/>
        <v>0</v>
      </c>
      <c r="J155" s="31">
        <f>RDG!I37</f>
        <v>2843095</v>
      </c>
      <c r="K155" s="31">
        <f>RDG!J37</f>
        <v>1</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3.22</v>
      </c>
      <c r="I162" s="4">
        <f t="shared" si="7"/>
        <v>0</v>
      </c>
      <c r="J162" s="31">
        <f>RDG!I44</f>
        <v>0</v>
      </c>
      <c r="K162" s="31">
        <f>RDG!J44</f>
        <v>1</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4662675.8</v>
      </c>
      <c r="I165" s="4">
        <f t="shared" si="7"/>
        <v>0</v>
      </c>
      <c r="J165" s="31">
        <f>RDG!I47</f>
        <v>2843095</v>
      </c>
      <c r="K165" s="31">
        <f>RDG!J47</f>
        <v>0</v>
      </c>
    </row>
    <row r="166" spans="4:11" ht="12.75">
      <c r="D166" s="4" t="s">
        <v>541</v>
      </c>
      <c r="E166" s="4">
        <v>2</v>
      </c>
      <c r="F166" s="4">
        <f>RDG!G48</f>
        <v>165</v>
      </c>
      <c r="G166" s="4" t="str">
        <f>IF(RDG!H48=0,"",RDG!H48)</f>
        <v>    6.</v>
      </c>
      <c r="H166" s="30">
        <f t="shared" si="6"/>
        <v>3.3000000000000003</v>
      </c>
      <c r="I166" s="4">
        <f t="shared" si="7"/>
        <v>0</v>
      </c>
      <c r="J166" s="31">
        <f>RDG!I48</f>
        <v>0</v>
      </c>
      <c r="K166" s="31">
        <f>RDG!J48</f>
        <v>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3.36</v>
      </c>
      <c r="I169" s="4">
        <f t="shared" si="7"/>
        <v>0</v>
      </c>
      <c r="J169" s="31">
        <f>RDG!I51</f>
        <v>0</v>
      </c>
      <c r="K169" s="31">
        <f>RDG!J51</f>
        <v>1</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5874649.470000001</v>
      </c>
      <c r="I178" s="4">
        <f t="shared" si="7"/>
        <v>0</v>
      </c>
      <c r="J178" s="31">
        <f>RDG!I60</f>
        <v>3013747</v>
      </c>
      <c r="K178" s="31">
        <f>RDG!J60</f>
        <v>152632</v>
      </c>
    </row>
    <row r="179" spans="4:11" ht="12.75">
      <c r="D179" s="4" t="s">
        <v>541</v>
      </c>
      <c r="E179" s="4">
        <v>2</v>
      </c>
      <c r="F179" s="4">
        <f>RDG!G61</f>
        <v>178</v>
      </c>
      <c r="G179" s="4">
        <f>IF(RDG!H61=0,"",RDG!H61)</f>
      </c>
      <c r="H179" s="30">
        <f t="shared" si="6"/>
        <v>6532580.42</v>
      </c>
      <c r="I179" s="4">
        <f t="shared" si="7"/>
        <v>0</v>
      </c>
      <c r="J179" s="31">
        <f>RDG!I61</f>
        <v>1919203</v>
      </c>
      <c r="K179" s="31">
        <f>RDG!J61</f>
        <v>875393</v>
      </c>
    </row>
    <row r="180" spans="4:11" ht="12.75">
      <c r="D180" s="4" t="s">
        <v>541</v>
      </c>
      <c r="E180" s="4">
        <v>2</v>
      </c>
      <c r="F180" s="4">
        <f>RDG!G62</f>
        <v>179</v>
      </c>
      <c r="G180" s="4">
        <f>IF(RDG!H62=0,"",RDG!H62)</f>
      </c>
      <c r="H180" s="30">
        <f t="shared" si="6"/>
        <v>-628250.6199999999</v>
      </c>
      <c r="I180" s="4">
        <f t="shared" si="7"/>
        <v>0</v>
      </c>
      <c r="J180" s="31">
        <f>RDG!I62</f>
        <v>1094544</v>
      </c>
      <c r="K180" s="31">
        <f>RDG!J62</f>
        <v>-722761</v>
      </c>
    </row>
    <row r="181" spans="4:11" ht="12.75">
      <c r="D181" s="4" t="s">
        <v>541</v>
      </c>
      <c r="E181" s="4">
        <v>2</v>
      </c>
      <c r="F181" s="4">
        <f>RDG!G63</f>
        <v>180</v>
      </c>
      <c r="G181" s="4">
        <f>IF(RDG!H63=0,"",RDG!H63)</f>
      </c>
      <c r="H181" s="30">
        <f t="shared" si="6"/>
        <v>1970179.2000000002</v>
      </c>
      <c r="I181" s="4">
        <f t="shared" si="7"/>
        <v>0</v>
      </c>
      <c r="J181" s="31">
        <f>RDG!I63</f>
        <v>1094544</v>
      </c>
      <c r="K181" s="31">
        <f>RDG!J63</f>
        <v>0</v>
      </c>
    </row>
    <row r="182" spans="4:11" ht="12.75">
      <c r="D182" s="4" t="s">
        <v>541</v>
      </c>
      <c r="E182" s="4">
        <v>2</v>
      </c>
      <c r="F182" s="4">
        <f>RDG!G64</f>
        <v>181</v>
      </c>
      <c r="G182" s="4">
        <f>IF(RDG!H64=0,"",RDG!H64)</f>
      </c>
      <c r="H182" s="30">
        <f t="shared" si="6"/>
        <v>2616394.82</v>
      </c>
      <c r="I182" s="4">
        <f t="shared" si="7"/>
        <v>0</v>
      </c>
      <c r="J182" s="31">
        <f>RDG!I64</f>
        <v>0</v>
      </c>
      <c r="K182" s="31">
        <f>RDG!J64</f>
        <v>722761</v>
      </c>
    </row>
    <row r="183" spans="4:11" ht="12.75">
      <c r="D183" s="4" t="s">
        <v>541</v>
      </c>
      <c r="E183" s="4">
        <v>2</v>
      </c>
      <c r="F183" s="4">
        <f>RDG!G65</f>
        <v>182</v>
      </c>
      <c r="G183" s="4" t="str">
        <f>IF(RDG!H65=0,"",RDG!H65)</f>
        <v>    7.</v>
      </c>
      <c r="H183" s="30">
        <f t="shared" si="6"/>
        <v>-302332.94</v>
      </c>
      <c r="I183" s="4">
        <f t="shared" si="7"/>
        <v>0</v>
      </c>
      <c r="J183" s="31">
        <f>RDG!I65</f>
        <v>78441</v>
      </c>
      <c r="K183" s="31">
        <f>RDG!J65</f>
        <v>-122279</v>
      </c>
    </row>
    <row r="184" spans="4:11" ht="12.75">
      <c r="D184" s="4" t="s">
        <v>541</v>
      </c>
      <c r="E184" s="4">
        <v>2</v>
      </c>
      <c r="F184" s="4">
        <f>RDG!G66</f>
        <v>183</v>
      </c>
      <c r="G184" s="4">
        <f>IF(RDG!H66=0,"",RDG!H66)</f>
      </c>
      <c r="H184" s="30">
        <f t="shared" si="6"/>
        <v>-338295.6299999999</v>
      </c>
      <c r="I184" s="4">
        <f t="shared" si="7"/>
        <v>0</v>
      </c>
      <c r="J184" s="31">
        <f>RDG!I66</f>
        <v>1016103</v>
      </c>
      <c r="K184" s="31">
        <f>RDG!J66</f>
        <v>-600482</v>
      </c>
    </row>
    <row r="185" spans="4:11" ht="12.75">
      <c r="D185" s="4" t="s">
        <v>541</v>
      </c>
      <c r="E185" s="4">
        <v>2</v>
      </c>
      <c r="F185" s="4">
        <f>RDG!G67</f>
        <v>184</v>
      </c>
      <c r="G185" s="4">
        <f>IF(RDG!H67=0,"",RDG!H67)</f>
      </c>
      <c r="H185" s="30">
        <f t="shared" si="6"/>
        <v>1869629.52</v>
      </c>
      <c r="I185" s="4">
        <f t="shared" si="7"/>
        <v>0</v>
      </c>
      <c r="J185" s="31">
        <f>RDG!I67</f>
        <v>1016103</v>
      </c>
      <c r="K185" s="31">
        <f>RDG!J67</f>
        <v>0</v>
      </c>
    </row>
    <row r="186" spans="4:11" ht="12.75">
      <c r="D186" s="4" t="s">
        <v>541</v>
      </c>
      <c r="E186" s="4">
        <v>2</v>
      </c>
      <c r="F186" s="4">
        <f>RDG!G68</f>
        <v>185</v>
      </c>
      <c r="G186" s="4">
        <f>IF(RDG!H68=0,"",RDG!H68)</f>
      </c>
      <c r="H186" s="30">
        <f t="shared" si="6"/>
        <v>2221783.4</v>
      </c>
      <c r="I186" s="4">
        <f t="shared" si="7"/>
        <v>0</v>
      </c>
      <c r="J186" s="31">
        <f>RDG!I68</f>
        <v>0</v>
      </c>
      <c r="K186" s="31">
        <f>RDG!J68</f>
        <v>600482</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1141891.74</v>
      </c>
      <c r="I242" s="4">
        <f t="shared" si="11"/>
        <v>0</v>
      </c>
      <c r="J242" s="31">
        <f>Dodatni!I35</f>
        <v>168552</v>
      </c>
      <c r="K242" s="31">
        <f>Dodatni!J35</f>
        <v>152631</v>
      </c>
    </row>
    <row r="243" spans="4:11" ht="12.75">
      <c r="D243" s="4" t="s">
        <v>1522</v>
      </c>
      <c r="E243" s="4">
        <v>3</v>
      </c>
      <c r="F243" s="4">
        <f>Dodatni!H37</f>
        <v>242</v>
      </c>
      <c r="H243" s="30">
        <f t="shared" si="10"/>
        <v>1146629.88</v>
      </c>
      <c r="I243" s="4">
        <f t="shared" si="11"/>
        <v>0</v>
      </c>
      <c r="J243" s="31">
        <f>Dodatni!I37</f>
        <v>168552</v>
      </c>
      <c r="K243" s="31">
        <f>Dodatni!J37</f>
        <v>152631</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1175058.72</v>
      </c>
      <c r="I249" s="4">
        <f t="shared" si="11"/>
        <v>0</v>
      </c>
      <c r="J249" s="31">
        <f>Dodatni!I45</f>
        <v>168552</v>
      </c>
      <c r="K249" s="31">
        <f>Dodatni!J45</f>
        <v>152631</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33568.92</v>
      </c>
      <c r="I253" s="4">
        <f t="shared" si="11"/>
        <v>0</v>
      </c>
      <c r="J253" s="31">
        <f>Dodatni!I50</f>
        <v>3421</v>
      </c>
      <c r="K253" s="31">
        <f>Dodatni!J50</f>
        <v>4950</v>
      </c>
    </row>
    <row r="254" spans="4:11" ht="12.75">
      <c r="D254" s="4" t="s">
        <v>1522</v>
      </c>
      <c r="E254" s="4">
        <v>3</v>
      </c>
      <c r="F254" s="4">
        <f>Dodatni!H51</f>
        <v>253</v>
      </c>
      <c r="H254" s="30">
        <f t="shared" si="10"/>
        <v>9616.529999999999</v>
      </c>
      <c r="I254" s="4">
        <f t="shared" si="11"/>
        <v>0</v>
      </c>
      <c r="J254" s="31">
        <f>Dodatni!I51</f>
        <v>1267</v>
      </c>
      <c r="K254" s="31">
        <f>Dodatni!J51</f>
        <v>1267</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990475.2000000002</v>
      </c>
      <c r="I265" s="4">
        <f t="shared" si="11"/>
        <v>0</v>
      </c>
      <c r="J265" s="31">
        <f>Dodatni!I62</f>
        <v>125298</v>
      </c>
      <c r="K265" s="31">
        <f>Dodatni!J62</f>
        <v>124941</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14" activePane="bottomLeft" state="frozen"/>
      <selection pane="topLeft" activeCell="A2" sqref="A2"/>
      <selection pane="bottomLeft" activeCell="E2" sqref="E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Batižele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22000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73841169007</v>
      </c>
      <c r="V4" s="211" t="s">
        <v>2356</v>
      </c>
      <c r="W4" s="232" t="str">
        <f>RefStr!F31</f>
        <v>Šibenik</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05003849</v>
      </c>
      <c r="V5" s="211" t="s">
        <v>2357</v>
      </c>
      <c r="W5" s="232" t="str">
        <f>RefStr!C33</f>
        <v>Prilaz tvornici 39</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110085841</v>
      </c>
      <c r="V6" s="211" t="s">
        <v>2568</v>
      </c>
      <c r="W6" s="232" t="str">
        <f>RefStr!L35</f>
        <v>098/5643790</v>
      </c>
      <c r="X6" s="211" t="s">
        <v>2514</v>
      </c>
      <c r="Y6" s="232" t="str">
        <f>RefStr!C68</f>
        <v>Slavica Ciganović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TEF@SI.HTNET.HR</v>
      </c>
      <c r="X7" s="211" t="s">
        <v>2515</v>
      </c>
      <c r="Y7" s="232" t="str">
        <f>RefStr!C70</f>
        <v>099/5485670</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Javno trgovačko društvo</v>
      </c>
      <c r="V8" s="211" t="s">
        <v>2574</v>
      </c>
      <c r="W8" s="232" t="str">
        <f>RefStr!C42</f>
        <v>6820</v>
      </c>
      <c r="X8" s="211" t="s">
        <v>2516</v>
      </c>
      <c r="Y8" s="232" t="str">
        <f>TRIM(UPPER(RefStr!C72))</f>
        <v>TEF@SI.HTNET.HR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0</v>
      </c>
      <c r="Q9" s="231">
        <f>RefStr!F58</f>
        <v>0</v>
      </c>
      <c r="R9" s="211" t="s">
        <v>1860</v>
      </c>
      <c r="S9" s="232">
        <f>IF(RefStr!F4&lt;&gt;"",RefStr!F4,0)</f>
        <v>44196</v>
      </c>
      <c r="T9" s="211" t="s">
        <v>1821</v>
      </c>
      <c r="U9" s="232">
        <f>RefStr!C39</f>
        <v>444</v>
      </c>
      <c r="V9" s="211" t="s">
        <v>1414</v>
      </c>
      <c r="W9" s="232" t="str">
        <f>RefStr!D42</f>
        <v>Iznajmljivanje i upravljanje vlastitim...</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0</v>
      </c>
      <c r="Q10" s="233">
        <f>RefStr!F56</f>
        <v>0</v>
      </c>
      <c r="R10" s="213" t="s">
        <v>1863</v>
      </c>
      <c r="S10" s="233">
        <f>RefStr!C23</f>
        <v>1</v>
      </c>
      <c r="T10" s="213" t="s">
        <v>2573</v>
      </c>
      <c r="U10" s="233" t="str">
        <f>RefStr!D39</f>
        <v>Šibenik</v>
      </c>
      <c r="V10" s="240"/>
      <c r="W10" s="241"/>
      <c r="X10" s="242" t="s">
        <v>1974</v>
      </c>
      <c r="Y10" s="243">
        <f>RefStr!F12</f>
        <v>2020</v>
      </c>
      <c r="Z10" s="213" t="s">
        <v>209</v>
      </c>
      <c r="AA10" s="233" t="str">
        <f>RefStr!A75</f>
        <v>                        Tihomir Paškov</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1</v>
      </c>
      <c r="V50" s="201">
        <f>IF(RDG!I60&gt;60000000,1,0)</f>
        <v>0</v>
      </c>
      <c r="W50" s="201">
        <f>IF(P10&gt;50,1,0)</f>
        <v>0</v>
      </c>
      <c r="X50" s="201" t="s">
        <v>1949</v>
      </c>
      <c r="Y50" s="201">
        <f>IF(Bilanca!I73&gt;150000000,1,0)</f>
        <v>1</v>
      </c>
      <c r="Z50" s="201">
        <f>IF(RDG!I60&gt;300000000,1,0)</f>
        <v>0</v>
      </c>
      <c r="AA50" s="201">
        <f>IF(P10&gt;250,1,0)</f>
        <v>0</v>
      </c>
      <c r="AC50" s="199">
        <f>IF(SUM(AM50:AO50)&gt;1,4,IF(SUM(AI50:AK50)&gt;1,3,IF(SUM(AE50:AG50)&gt;1,2,IF(S6="DA",2,1))))</f>
        <v>1</v>
      </c>
      <c r="AD50" s="202" t="s">
        <v>2666</v>
      </c>
      <c r="AE50" s="202">
        <f>IF(Bilanca!J73&gt;2600000,1,0)</f>
        <v>1</v>
      </c>
      <c r="AF50" s="201">
        <f>IF(S9&gt;S8,IF(RDG!J60*365/(S9-S8)&gt;5200000,1,0),0)</f>
        <v>0</v>
      </c>
      <c r="AG50" s="201">
        <f>IF(Q10&gt;10,1,0)</f>
        <v>0</v>
      </c>
      <c r="AH50" s="201" t="s">
        <v>1948</v>
      </c>
      <c r="AI50" s="201">
        <f>IF(Bilanca!J73&gt;30000000,1,0)</f>
        <v>1</v>
      </c>
      <c r="AJ50" s="201">
        <f>IF(S9&gt;S8,IF(RDG!J60*365/(S9-S8)&gt;60000000,1,0),0)</f>
        <v>0</v>
      </c>
      <c r="AK50" s="201">
        <f>IF(Q10&gt;50,1,0)</f>
        <v>0</v>
      </c>
      <c r="AL50" s="201" t="s">
        <v>1949</v>
      </c>
      <c r="AM50" s="201">
        <f>IF(Bilanca!J73&gt;150000000,1,0)</f>
        <v>1</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D:\GFI-POD 2020 Batižele\[GFI-POD-2020-BATIŽELE ispravljeni.xls]RefStr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D19" sqref="D19:H1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500384.9</v>
      </c>
    </row>
    <row r="13" spans="4:17" ht="9.75" customHeight="1">
      <c r="D13" s="156"/>
      <c r="E13" s="162"/>
      <c r="H13" s="27"/>
      <c r="I13" s="163"/>
      <c r="J13" s="163"/>
      <c r="K13" s="156"/>
      <c r="L13" s="156"/>
      <c r="M13" s="156"/>
      <c r="N13" s="156"/>
      <c r="P13" s="54" t="s">
        <v>2353</v>
      </c>
      <c r="Q13" s="55">
        <f>INT(VALUE(M27))/50</f>
        <v>2201716.82</v>
      </c>
    </row>
    <row r="14" spans="1:17" ht="15">
      <c r="A14" s="340" t="s">
        <v>2714</v>
      </c>
      <c r="B14" s="340"/>
      <c r="C14" s="340"/>
      <c r="D14" s="164"/>
      <c r="E14" s="165"/>
      <c r="F14" s="338"/>
      <c r="G14" s="339"/>
      <c r="H14" s="339"/>
      <c r="I14" s="156"/>
      <c r="J14" s="346" t="s">
        <v>2100</v>
      </c>
      <c r="K14" s="347"/>
      <c r="L14" s="347"/>
      <c r="M14" s="347"/>
      <c r="N14" s="347"/>
      <c r="P14" s="54" t="s">
        <v>2718</v>
      </c>
      <c r="Q14" s="55">
        <f>INT(VALUE(C27))/100</f>
        <v>738411690.07</v>
      </c>
    </row>
    <row r="15" spans="1:17" ht="19.5" customHeight="1">
      <c r="A15" s="343">
        <f>Skriveni!B59</f>
        <v>5362449948.9800005</v>
      </c>
      <c r="B15" s="344"/>
      <c r="C15" s="345"/>
      <c r="D15" s="60"/>
      <c r="E15" s="60"/>
      <c r="F15" s="60"/>
      <c r="G15" s="60"/>
      <c r="H15" s="60"/>
      <c r="I15" s="60"/>
      <c r="J15" s="60"/>
      <c r="K15" s="60"/>
      <c r="L15" s="60"/>
      <c r="M15" s="60"/>
      <c r="N15" s="60"/>
      <c r="P15" s="54" t="s">
        <v>1817</v>
      </c>
      <c r="Q15" s="55">
        <f>LEN(Skriveni!B9)</f>
        <v>15</v>
      </c>
    </row>
    <row r="16" spans="4:17" ht="12.75" customHeight="1">
      <c r="D16" s="60"/>
      <c r="E16" s="60"/>
      <c r="F16" s="60"/>
      <c r="G16" s="60"/>
      <c r="H16" s="60"/>
      <c r="I16" s="60"/>
      <c r="P16" s="54" t="s">
        <v>1818</v>
      </c>
      <c r="Q16" s="55">
        <f>INT(VALUE(C31))/100</f>
        <v>220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7</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18</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444</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6820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22000</v>
      </c>
      <c r="D31" s="329" t="s">
        <v>693</v>
      </c>
      <c r="E31" s="330"/>
      <c r="F31" s="323" t="s">
        <v>2304</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2962</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444</v>
      </c>
      <c r="D39" s="326" t="str">
        <f>IF(C39="","Šifra grada/općine nije upisana",IF(ISNA(LOOKUP(C39,A177:A732,A177:A732)),"Šifra grada/općine ne postoji",IF(LOOKUP(C39,A177:A732,A177:A732)&lt;&gt;C39,"Šifra grada/općine ne postoji",LOOKUP(C39,A177:A732,B177:B732))))</f>
        <v>Šibenik</v>
      </c>
      <c r="E39" s="327"/>
      <c r="F39" s="327"/>
      <c r="G39" s="327"/>
      <c r="H39" s="314" t="s">
        <v>2222</v>
      </c>
      <c r="I39" s="292"/>
      <c r="J39" s="58">
        <f>IF(C39&gt;0,LOOKUP(C39,A177:A732,C177:C732),"")</f>
        <v>15</v>
      </c>
      <c r="K39" s="315" t="str">
        <f>IF(J39="","Treba prvo upisati šifru grada/općine",LOOKUP(J39,A153:A173,B153:B173))</f>
        <v>ŠIBENSKO-KNINSKA</v>
      </c>
      <c r="L39" s="315"/>
      <c r="M39" s="315"/>
      <c r="N39" s="315"/>
      <c r="P39" s="54" t="s">
        <v>1826</v>
      </c>
      <c r="Q39" s="55">
        <f>C56+2*F56+3*C58+4*F58</f>
        <v>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978</v>
      </c>
      <c r="D42" s="317" t="str">
        <f>IF(C42="","Šifra NKD-a nije upisana",IF(ISNA(LOOKUP(C42,A736:A1351,A736:A1351)),"Šifra NKD-a ne postoji",IF(LOOKUP(C42,A736:A1351,A736:A1351)&lt;&gt;C42,"Šifra NKD-a ne postoji",LOOKUP(C42,A736:A1351,B736:B1351))))</f>
        <v>Iznajmljivanje i upravljanje vlastitim...</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0</v>
      </c>
      <c r="D56" s="272" t="s">
        <v>2898</v>
      </c>
      <c r="E56" s="273"/>
      <c r="F56" s="44">
        <v>0</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0</v>
      </c>
      <c r="D58" s="309" t="s">
        <v>2898</v>
      </c>
      <c r="E58" s="309"/>
      <c r="F58" s="44">
        <v>0</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2959</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2958</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2961</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61" activePane="bottomLeft" state="frozen"/>
      <selection pane="topLeft" activeCell="A1" sqref="A1"/>
      <selection pane="bottomLeft" activeCell="C1" sqref="C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73841169007; Batižele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t="s">
        <v>2973</v>
      </c>
      <c r="I10" s="70">
        <f>I11+I18+I28+I39+I44</f>
        <v>361437803</v>
      </c>
      <c r="J10" s="70">
        <f>J11+J18+J28+J39+J44</f>
        <v>360720114</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361437803</v>
      </c>
      <c r="J18" s="70">
        <f>SUM(J19:J27)</f>
        <v>360720114</v>
      </c>
    </row>
    <row r="19" spans="1:10" ht="13.5" customHeight="1">
      <c r="A19" s="381" t="s">
        <v>2176</v>
      </c>
      <c r="B19" s="381"/>
      <c r="C19" s="381"/>
      <c r="D19" s="381"/>
      <c r="E19" s="381"/>
      <c r="F19" s="381"/>
      <c r="G19" s="19">
        <v>11</v>
      </c>
      <c r="H19" s="20"/>
      <c r="I19" s="71">
        <v>354978608</v>
      </c>
      <c r="J19" s="71">
        <v>354978608</v>
      </c>
    </row>
    <row r="20" spans="1:10" ht="13.5" customHeight="1">
      <c r="A20" s="381" t="s">
        <v>543</v>
      </c>
      <c r="B20" s="381"/>
      <c r="C20" s="381"/>
      <c r="D20" s="381"/>
      <c r="E20" s="381"/>
      <c r="F20" s="381"/>
      <c r="G20" s="19">
        <v>12</v>
      </c>
      <c r="H20" s="20"/>
      <c r="I20" s="71">
        <v>6459195</v>
      </c>
      <c r="J20" s="71">
        <v>5741506</v>
      </c>
    </row>
    <row r="21" spans="1:10" ht="13.5" customHeight="1">
      <c r="A21" s="381" t="s">
        <v>2177</v>
      </c>
      <c r="B21" s="381"/>
      <c r="C21" s="381"/>
      <c r="D21" s="381"/>
      <c r="E21" s="381"/>
      <c r="F21" s="381"/>
      <c r="G21" s="19">
        <v>13</v>
      </c>
      <c r="H21" s="20"/>
      <c r="I21" s="71"/>
      <c r="J21" s="71"/>
    </row>
    <row r="22" spans="1:10" ht="13.5" customHeight="1">
      <c r="A22" s="381" t="s">
        <v>2290</v>
      </c>
      <c r="B22" s="381"/>
      <c r="C22" s="381"/>
      <c r="D22" s="381"/>
      <c r="E22" s="381"/>
      <c r="F22" s="381"/>
      <c r="G22" s="19">
        <v>14</v>
      </c>
      <c r="H22" s="20"/>
      <c r="I22" s="71"/>
      <c r="J22" s="71"/>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232538</v>
      </c>
      <c r="J45" s="70">
        <f>J46+J54+J61+J71</f>
        <v>98986</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t="s">
        <v>2974</v>
      </c>
      <c r="I54" s="70">
        <f>SUM(I55:I60)</f>
        <v>73554</v>
      </c>
      <c r="J54" s="70">
        <f>SUM(J55:J60)</f>
        <v>45634</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t="s">
        <v>2976</v>
      </c>
      <c r="I57" s="71">
        <v>10719</v>
      </c>
      <c r="J57" s="71">
        <v>12181</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c r="J59" s="71">
        <v>33453</v>
      </c>
    </row>
    <row r="60" spans="1:10" ht="13.5" customHeight="1">
      <c r="A60" s="381" t="s">
        <v>2638</v>
      </c>
      <c r="B60" s="381"/>
      <c r="C60" s="381"/>
      <c r="D60" s="381"/>
      <c r="E60" s="381"/>
      <c r="F60" s="381"/>
      <c r="G60" s="19">
        <v>52</v>
      </c>
      <c r="H60" s="20" t="s">
        <v>2975</v>
      </c>
      <c r="I60" s="71">
        <v>62835</v>
      </c>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158984</v>
      </c>
      <c r="J71" s="71">
        <v>53352</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361670341</v>
      </c>
      <c r="J73" s="70">
        <f>J9+J10+J45+J72</f>
        <v>360819100</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154388565</v>
      </c>
      <c r="J76" s="70">
        <f>J77+J78+J79+J85+J86+J90+J93+J96</f>
        <v>327511572</v>
      </c>
      <c r="L76" s="2" t="s">
        <v>2591</v>
      </c>
    </row>
    <row r="77" spans="1:10" ht="13.5" customHeight="1">
      <c r="A77" s="382" t="s">
        <v>935</v>
      </c>
      <c r="B77" s="382"/>
      <c r="C77" s="382"/>
      <c r="D77" s="382"/>
      <c r="E77" s="382"/>
      <c r="F77" s="382"/>
      <c r="G77" s="19">
        <v>68</v>
      </c>
      <c r="H77" s="20" t="s">
        <v>2977</v>
      </c>
      <c r="I77" s="71">
        <v>148500000</v>
      </c>
      <c r="J77" s="71">
        <v>296615600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t="s">
        <v>2978</v>
      </c>
      <c r="I85" s="71">
        <v>263037902</v>
      </c>
      <c r="J85" s="71">
        <v>288088741</v>
      </c>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t="s">
        <v>2978</v>
      </c>
      <c r="I90" s="70">
        <f>I91-I92</f>
        <v>-258165440</v>
      </c>
      <c r="J90" s="70">
        <f>J91-J92</f>
        <v>-256592287</v>
      </c>
      <c r="L90" s="2" t="s">
        <v>2591</v>
      </c>
    </row>
    <row r="91" spans="1:10" ht="13.5" customHeight="1">
      <c r="A91" s="381" t="s">
        <v>1139</v>
      </c>
      <c r="B91" s="381"/>
      <c r="C91" s="381"/>
      <c r="D91" s="381"/>
      <c r="E91" s="381"/>
      <c r="F91" s="381"/>
      <c r="G91" s="19">
        <v>82</v>
      </c>
      <c r="H91" s="20"/>
      <c r="I91" s="71">
        <v>557049</v>
      </c>
      <c r="J91" s="71">
        <v>557049</v>
      </c>
    </row>
    <row r="92" spans="1:10" ht="13.5" customHeight="1">
      <c r="A92" s="381" t="s">
        <v>1140</v>
      </c>
      <c r="B92" s="381"/>
      <c r="C92" s="381"/>
      <c r="D92" s="381"/>
      <c r="E92" s="381"/>
      <c r="F92" s="381"/>
      <c r="G92" s="19">
        <v>83</v>
      </c>
      <c r="H92" s="20"/>
      <c r="I92" s="71">
        <v>258722489</v>
      </c>
      <c r="J92" s="71">
        <v>257149336</v>
      </c>
    </row>
    <row r="93" spans="1:12" ht="13.5" customHeight="1">
      <c r="A93" s="382" t="s">
        <v>2653</v>
      </c>
      <c r="B93" s="382"/>
      <c r="C93" s="382"/>
      <c r="D93" s="382"/>
      <c r="E93" s="382"/>
      <c r="F93" s="382"/>
      <c r="G93" s="19">
        <v>84</v>
      </c>
      <c r="H93" s="20"/>
      <c r="I93" s="70">
        <f>I94-I95</f>
        <v>1016103</v>
      </c>
      <c r="J93" s="70">
        <f>J94-J95</f>
        <v>-600482</v>
      </c>
      <c r="L93" s="2" t="s">
        <v>2591</v>
      </c>
    </row>
    <row r="94" spans="1:10" ht="13.5" customHeight="1">
      <c r="A94" s="381" t="s">
        <v>2640</v>
      </c>
      <c r="B94" s="381"/>
      <c r="C94" s="381"/>
      <c r="D94" s="381"/>
      <c r="E94" s="381"/>
      <c r="F94" s="381"/>
      <c r="G94" s="19">
        <v>85</v>
      </c>
      <c r="H94" s="20"/>
      <c r="I94" s="71">
        <v>1016103</v>
      </c>
      <c r="J94" s="71"/>
    </row>
    <row r="95" spans="1:10" ht="13.5" customHeight="1">
      <c r="A95" s="381" t="s">
        <v>1141</v>
      </c>
      <c r="B95" s="381"/>
      <c r="C95" s="381"/>
      <c r="D95" s="381"/>
      <c r="E95" s="381"/>
      <c r="F95" s="381"/>
      <c r="G95" s="19">
        <v>86</v>
      </c>
      <c r="H95" s="20"/>
      <c r="I95" s="71"/>
      <c r="J95" s="71">
        <v>600482</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912660</v>
      </c>
      <c r="J97" s="70">
        <f>SUM(J98:J103)</f>
        <v>912660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v>912660</v>
      </c>
      <c r="J101" s="71">
        <v>912660</v>
      </c>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t="s">
        <v>2979</v>
      </c>
      <c r="I104" s="70">
        <f>SUM(I105:I115)</f>
        <v>57740027</v>
      </c>
      <c r="J104" s="70">
        <f>SUM(J105:J115)</f>
        <v>32009860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t="s">
        <v>2980</v>
      </c>
      <c r="I115" s="71">
        <v>57740027</v>
      </c>
      <c r="J115" s="71">
        <v>32009860</v>
      </c>
    </row>
    <row r="116" spans="1:10" ht="13.5" customHeight="1">
      <c r="A116" s="383" t="s">
        <v>2656</v>
      </c>
      <c r="B116" s="383"/>
      <c r="C116" s="383"/>
      <c r="D116" s="383"/>
      <c r="E116" s="383"/>
      <c r="F116" s="383"/>
      <c r="G116" s="19">
        <v>107</v>
      </c>
      <c r="H116" s="20" t="s">
        <v>2981</v>
      </c>
      <c r="I116" s="70">
        <f>SUM(I117:I130)</f>
        <v>148629089</v>
      </c>
      <c r="J116" s="70">
        <f>SUM(J117:J130)</f>
        <v>385008</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877</v>
      </c>
      <c r="J124" s="71">
        <v>11330</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c r="J126" s="71"/>
    </row>
    <row r="127" spans="1:10" ht="13.5" customHeight="1">
      <c r="A127" s="381" t="s">
        <v>364</v>
      </c>
      <c r="B127" s="381"/>
      <c r="C127" s="381"/>
      <c r="D127" s="381"/>
      <c r="E127" s="381"/>
      <c r="F127" s="381"/>
      <c r="G127" s="19">
        <v>118</v>
      </c>
      <c r="H127" s="20" t="s">
        <v>2982</v>
      </c>
      <c r="I127" s="71">
        <v>148628212</v>
      </c>
      <c r="J127" s="71">
        <v>373678</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row>
    <row r="131" spans="1:10" ht="24.75" customHeight="1">
      <c r="A131" s="383" t="s">
        <v>1560</v>
      </c>
      <c r="B131" s="383"/>
      <c r="C131" s="383"/>
      <c r="D131" s="383"/>
      <c r="E131" s="383"/>
      <c r="F131" s="383"/>
      <c r="G131" s="19">
        <v>122</v>
      </c>
      <c r="H131" s="20"/>
      <c r="I131" s="71"/>
      <c r="J131" s="71"/>
    </row>
    <row r="132" spans="1:10" ht="13.5" customHeight="1">
      <c r="A132" s="383" t="s">
        <v>2657</v>
      </c>
      <c r="B132" s="383"/>
      <c r="C132" s="383"/>
      <c r="D132" s="383"/>
      <c r="E132" s="383"/>
      <c r="F132" s="383"/>
      <c r="G132" s="19">
        <v>123</v>
      </c>
      <c r="H132" s="20"/>
      <c r="I132" s="70">
        <f>I76+I97+I104+I116+I131</f>
        <v>361670341</v>
      </c>
      <c r="J132" s="70">
        <f>J76+J97+J104+J116+J131</f>
        <v>360819100</v>
      </c>
    </row>
    <row r="133" spans="1:10" ht="13.5" customHeight="1">
      <c r="A133" s="384" t="s">
        <v>662</v>
      </c>
      <c r="B133" s="384"/>
      <c r="C133" s="384"/>
      <c r="D133" s="384"/>
      <c r="E133" s="384"/>
      <c r="F133" s="384"/>
      <c r="G133" s="21">
        <v>124</v>
      </c>
      <c r="H133" s="22"/>
      <c r="I133" s="72"/>
      <c r="J133" s="72"/>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50" activePane="bottomLeft" state="frozen"/>
      <selection pane="topLeft" activeCell="A1" sqref="A1"/>
      <selection pane="bottomLeft" activeCell="D1" sqref="D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73841169007; Batižele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t="s">
        <v>2963</v>
      </c>
      <c r="I8" s="84">
        <f>SUM(I9:I13)</f>
        <v>170652</v>
      </c>
      <c r="J8" s="84">
        <f>SUM(J9:J13)</f>
        <v>152631</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t="s">
        <v>2964</v>
      </c>
      <c r="I10" s="71">
        <v>168552</v>
      </c>
      <c r="J10" s="71">
        <v>152631</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t="s">
        <v>2965</v>
      </c>
      <c r="I13" s="71">
        <v>2100</v>
      </c>
      <c r="J13" s="71"/>
    </row>
    <row r="14" spans="1:10" s="2" customFormat="1" ht="13.5" customHeight="1">
      <c r="A14" s="383" t="s">
        <v>1837</v>
      </c>
      <c r="B14" s="383"/>
      <c r="C14" s="383"/>
      <c r="D14" s="383"/>
      <c r="E14" s="383"/>
      <c r="F14" s="383"/>
      <c r="G14" s="19">
        <v>131</v>
      </c>
      <c r="H14" s="20"/>
      <c r="I14" s="70">
        <f>I15+I16+I20+I24+I25+I26+I29+I36</f>
        <v>1919203</v>
      </c>
      <c r="J14" s="70">
        <f>J15+J16+J20+J24+J25+J26+J29+J36</f>
        <v>875392</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t="s">
        <v>2966</v>
      </c>
      <c r="I16" s="70">
        <f>SUM(I17:I19)</f>
        <v>6961</v>
      </c>
      <c r="J16" s="70">
        <f>SUM(J17:J19)</f>
        <v>30597</v>
      </c>
    </row>
    <row r="17" spans="1:10" s="2" customFormat="1" ht="13.5" customHeight="1">
      <c r="A17" s="410" t="s">
        <v>504</v>
      </c>
      <c r="B17" s="410"/>
      <c r="C17" s="410"/>
      <c r="D17" s="410"/>
      <c r="E17" s="410"/>
      <c r="F17" s="410"/>
      <c r="G17" s="19">
        <v>134</v>
      </c>
      <c r="H17" s="20"/>
      <c r="I17" s="71">
        <v>3241</v>
      </c>
      <c r="J17" s="71">
        <v>4950</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3720</v>
      </c>
      <c r="J19" s="71">
        <v>25647</v>
      </c>
    </row>
    <row r="20" spans="1:10" s="2" customFormat="1" ht="13.5" customHeight="1">
      <c r="A20" s="381" t="s">
        <v>1839</v>
      </c>
      <c r="B20" s="381"/>
      <c r="C20" s="381"/>
      <c r="D20" s="381"/>
      <c r="E20" s="381"/>
      <c r="F20" s="381"/>
      <c r="G20" s="19">
        <v>137</v>
      </c>
      <c r="H20" s="20"/>
      <c r="I20" s="70">
        <f>SUM(I21:I23)</f>
        <v>0</v>
      </c>
      <c r="J20" s="70">
        <f>SUM(J21:J23)</f>
        <v>0</v>
      </c>
    </row>
    <row r="21" spans="1:10" s="2" customFormat="1" ht="13.5" customHeight="1">
      <c r="A21" s="410" t="s">
        <v>724</v>
      </c>
      <c r="B21" s="410"/>
      <c r="C21" s="410"/>
      <c r="D21" s="410"/>
      <c r="E21" s="410"/>
      <c r="F21" s="410"/>
      <c r="G21" s="19">
        <v>138</v>
      </c>
      <c r="H21" s="20"/>
      <c r="I21" s="71"/>
      <c r="J21" s="71"/>
    </row>
    <row r="22" spans="1:10" s="2" customFormat="1" ht="13.5" customHeight="1">
      <c r="A22" s="410" t="s">
        <v>961</v>
      </c>
      <c r="B22" s="410"/>
      <c r="C22" s="410"/>
      <c r="D22" s="410"/>
      <c r="E22" s="410"/>
      <c r="F22" s="410"/>
      <c r="G22" s="19">
        <v>139</v>
      </c>
      <c r="H22" s="20"/>
      <c r="I22" s="71"/>
      <c r="J22" s="71"/>
    </row>
    <row r="23" spans="1:10" s="2" customFormat="1" ht="13.5" customHeight="1">
      <c r="A23" s="410" t="s">
        <v>962</v>
      </c>
      <c r="B23" s="410"/>
      <c r="C23" s="410"/>
      <c r="D23" s="410"/>
      <c r="E23" s="410"/>
      <c r="F23" s="410"/>
      <c r="G23" s="19">
        <v>140</v>
      </c>
      <c r="H23" s="20"/>
      <c r="I23" s="71"/>
      <c r="J23" s="71"/>
    </row>
    <row r="24" spans="1:10" s="2" customFormat="1" ht="13.5" customHeight="1">
      <c r="A24" s="381" t="s">
        <v>259</v>
      </c>
      <c r="B24" s="381"/>
      <c r="C24" s="381"/>
      <c r="D24" s="381"/>
      <c r="E24" s="381"/>
      <c r="F24" s="381"/>
      <c r="G24" s="19">
        <v>141</v>
      </c>
      <c r="H24" s="20" t="s">
        <v>2967</v>
      </c>
      <c r="I24" s="71">
        <v>717688</v>
      </c>
      <c r="J24" s="71">
        <v>717688</v>
      </c>
    </row>
    <row r="25" spans="1:10" s="2" customFormat="1" ht="13.5" customHeight="1">
      <c r="A25" s="381" t="s">
        <v>260</v>
      </c>
      <c r="B25" s="381"/>
      <c r="C25" s="381"/>
      <c r="D25" s="381"/>
      <c r="E25" s="381"/>
      <c r="F25" s="381"/>
      <c r="G25" s="19">
        <v>142</v>
      </c>
      <c r="H25" s="20" t="s">
        <v>2968</v>
      </c>
      <c r="I25" s="71">
        <v>127009</v>
      </c>
      <c r="J25" s="71">
        <v>127107</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t="s">
        <v>2969</v>
      </c>
      <c r="I36" s="71">
        <v>1067545</v>
      </c>
      <c r="J36" s="71"/>
    </row>
    <row r="37" spans="1:10" s="2" customFormat="1" ht="13.5" customHeight="1">
      <c r="A37" s="383" t="s">
        <v>1842</v>
      </c>
      <c r="B37" s="383"/>
      <c r="C37" s="383"/>
      <c r="D37" s="383"/>
      <c r="E37" s="383"/>
      <c r="F37" s="383"/>
      <c r="G37" s="19">
        <v>154</v>
      </c>
      <c r="H37" s="20" t="s">
        <v>2970</v>
      </c>
      <c r="I37" s="70">
        <f>SUM(I38:I47)</f>
        <v>2843095</v>
      </c>
      <c r="J37" s="70">
        <f>SUM(J38:J47)</f>
        <v>1</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c r="J44" s="71">
        <v>1</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v>2843095</v>
      </c>
      <c r="J47" s="71"/>
    </row>
    <row r="48" spans="1:10" s="2" customFormat="1" ht="13.5" customHeight="1">
      <c r="A48" s="383" t="s">
        <v>1843</v>
      </c>
      <c r="B48" s="383"/>
      <c r="C48" s="383"/>
      <c r="D48" s="383"/>
      <c r="E48" s="383"/>
      <c r="F48" s="383"/>
      <c r="G48" s="19">
        <v>165</v>
      </c>
      <c r="H48" s="20" t="s">
        <v>2971</v>
      </c>
      <c r="I48" s="70">
        <f>SUM(I49:I55)</f>
        <v>0</v>
      </c>
      <c r="J48" s="70">
        <f>SUM(J49:J55)</f>
        <v>1</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c r="J51" s="71">
        <v>1</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3013747</v>
      </c>
      <c r="J60" s="70">
        <f>J8+J37+J56+J57</f>
        <v>152632</v>
      </c>
    </row>
    <row r="61" spans="1:10" s="2" customFormat="1" ht="13.5" customHeight="1">
      <c r="A61" s="383" t="s">
        <v>1845</v>
      </c>
      <c r="B61" s="383"/>
      <c r="C61" s="383"/>
      <c r="D61" s="383"/>
      <c r="E61" s="383"/>
      <c r="F61" s="383"/>
      <c r="G61" s="19">
        <v>178</v>
      </c>
      <c r="H61" s="20"/>
      <c r="I61" s="70">
        <f>I14+I48+I58+I59</f>
        <v>1919203</v>
      </c>
      <c r="J61" s="70">
        <f>J14+J48+J58+J59</f>
        <v>875393</v>
      </c>
    </row>
    <row r="62" spans="1:12" s="2" customFormat="1" ht="13.5" customHeight="1">
      <c r="A62" s="383" t="s">
        <v>2581</v>
      </c>
      <c r="B62" s="383"/>
      <c r="C62" s="383"/>
      <c r="D62" s="383"/>
      <c r="E62" s="383"/>
      <c r="F62" s="383"/>
      <c r="G62" s="19">
        <v>179</v>
      </c>
      <c r="H62" s="20"/>
      <c r="I62" s="70">
        <f>I60-I61</f>
        <v>1094544</v>
      </c>
      <c r="J62" s="70">
        <f>J60-J61</f>
        <v>-722761</v>
      </c>
      <c r="L62" s="2" t="s">
        <v>2591</v>
      </c>
    </row>
    <row r="63" spans="1:10" s="2" customFormat="1" ht="13.5" customHeight="1">
      <c r="A63" s="404" t="s">
        <v>2658</v>
      </c>
      <c r="B63" s="404"/>
      <c r="C63" s="404"/>
      <c r="D63" s="404"/>
      <c r="E63" s="404"/>
      <c r="F63" s="404"/>
      <c r="G63" s="19">
        <v>180</v>
      </c>
      <c r="H63" s="20"/>
      <c r="I63" s="70">
        <f>IF(I60&gt;I61,I60-I61,0)</f>
        <v>1094544</v>
      </c>
      <c r="J63" s="70">
        <f>IF(J60&gt;J61,J60-J61,0)</f>
        <v>0</v>
      </c>
    </row>
    <row r="64" spans="1:10" s="2" customFormat="1" ht="13.5" customHeight="1">
      <c r="A64" s="404" t="s">
        <v>778</v>
      </c>
      <c r="B64" s="404"/>
      <c r="C64" s="404"/>
      <c r="D64" s="404"/>
      <c r="E64" s="404"/>
      <c r="F64" s="404"/>
      <c r="G64" s="19">
        <v>181</v>
      </c>
      <c r="H64" s="20"/>
      <c r="I64" s="70">
        <f>IF(I61&gt;I60,I61-I60,0)</f>
        <v>0</v>
      </c>
      <c r="J64" s="70">
        <f>IF(J61&gt;J60,J61-J60,0)</f>
        <v>722761</v>
      </c>
    </row>
    <row r="65" spans="1:12" s="2" customFormat="1" ht="13.5" customHeight="1">
      <c r="A65" s="383" t="s">
        <v>2620</v>
      </c>
      <c r="B65" s="383"/>
      <c r="C65" s="383"/>
      <c r="D65" s="383"/>
      <c r="E65" s="383"/>
      <c r="F65" s="383"/>
      <c r="G65" s="19">
        <v>182</v>
      </c>
      <c r="H65" s="20" t="s">
        <v>2972</v>
      </c>
      <c r="I65" s="71">
        <v>78441</v>
      </c>
      <c r="J65" s="71">
        <v>-122279</v>
      </c>
      <c r="L65" s="2" t="s">
        <v>2591</v>
      </c>
    </row>
    <row r="66" spans="1:12" s="2" customFormat="1" ht="13.5" customHeight="1">
      <c r="A66" s="383" t="s">
        <v>2582</v>
      </c>
      <c r="B66" s="383"/>
      <c r="C66" s="383"/>
      <c r="D66" s="383"/>
      <c r="E66" s="383"/>
      <c r="F66" s="383"/>
      <c r="G66" s="19">
        <v>183</v>
      </c>
      <c r="H66" s="20"/>
      <c r="I66" s="70">
        <f>I62-I65</f>
        <v>1016103</v>
      </c>
      <c r="J66" s="70">
        <f>J62-J65</f>
        <v>-600482</v>
      </c>
      <c r="L66" s="2" t="s">
        <v>2591</v>
      </c>
    </row>
    <row r="67" spans="1:10" s="2" customFormat="1" ht="13.5" customHeight="1">
      <c r="A67" s="404" t="s">
        <v>779</v>
      </c>
      <c r="B67" s="404"/>
      <c r="C67" s="404"/>
      <c r="D67" s="404"/>
      <c r="E67" s="404"/>
      <c r="F67" s="404"/>
      <c r="G67" s="19">
        <v>184</v>
      </c>
      <c r="H67" s="20"/>
      <c r="I67" s="70">
        <f>IF(I66&gt;0,I66,0)</f>
        <v>1016103</v>
      </c>
      <c r="J67" s="70">
        <f>IF(J66&gt;0,J66,0)</f>
        <v>0</v>
      </c>
    </row>
    <row r="68" spans="1:10" s="2" customFormat="1" ht="13.5" customHeight="1">
      <c r="A68" s="421" t="s">
        <v>1472</v>
      </c>
      <c r="B68" s="421"/>
      <c r="C68" s="421"/>
      <c r="D68" s="421"/>
      <c r="E68" s="421"/>
      <c r="F68" s="421"/>
      <c r="G68" s="21">
        <v>185</v>
      </c>
      <c r="H68" s="22"/>
      <c r="I68" s="85">
        <f>IF(I66&lt;0,-I66,0)</f>
        <v>0</v>
      </c>
      <c r="J68" s="85">
        <f>IF(J66&lt;0,-J66,0)</f>
        <v>600482</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3" activePane="bottomLeft" state="frozen"/>
      <selection pane="topLeft" activeCell="A1" sqref="A1"/>
      <selection pane="bottomLeft" activeCell="J1" sqref="J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73841169007; Batižele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v>168552</v>
      </c>
      <c r="J35" s="78">
        <v>152631</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168552</v>
      </c>
      <c r="J37" s="94">
        <v>152631</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v>168552</v>
      </c>
      <c r="J45" s="77">
        <v>152631</v>
      </c>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3421</v>
      </c>
      <c r="J50" s="77">
        <v>4950</v>
      </c>
    </row>
    <row r="51" spans="1:10" s="2" customFormat="1" ht="24.75" customHeight="1">
      <c r="A51" s="404" t="s">
        <v>2219</v>
      </c>
      <c r="B51" s="404"/>
      <c r="C51" s="404"/>
      <c r="D51" s="404"/>
      <c r="E51" s="404"/>
      <c r="F51" s="404"/>
      <c r="G51" s="427"/>
      <c r="H51" s="19">
        <v>253</v>
      </c>
      <c r="I51" s="77">
        <v>1267</v>
      </c>
      <c r="J51" s="77">
        <v>1267</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v>125298</v>
      </c>
      <c r="J62" s="77">
        <v>124941</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73841169007; Batižele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73841169007; Batižele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73841169007; Batižele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Slavica Ciganović</cp:lastModifiedBy>
  <cp:lastPrinted>2021-03-09T17:43:58Z</cp:lastPrinted>
  <dcterms:created xsi:type="dcterms:W3CDTF">2008-10-17T11:51:54Z</dcterms:created>
  <dcterms:modified xsi:type="dcterms:W3CDTF">2021-05-27T12:38:42Z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